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1.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6.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3000" firstSheet="2" activeTab="2"/>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Advanced!$D$17</definedName>
    <definedName name="dirRAoutput">Advanced!$K$8</definedName>
    <definedName name="dirRAtemplate">Advanced!$K$7</definedName>
    <definedName name="fiscalyear" localSheetId="3">Budgets!$M$2</definedName>
    <definedName name="from_date">Advanced!$E$12</definedName>
    <definedName name="Mac_connect_string" localSheetId="9">HiddenSettings!$B$5</definedName>
    <definedName name="menu_prop_stts">HiddenSettings!$D$7:$D$11</definedName>
    <definedName name="natr_rqst_abbr">Advanced!$D$19</definedName>
    <definedName name="obj_clas_code">Advanced!$D$20</definedName>
    <definedName name="org_code">Advanced!$D$16</definedName>
    <definedName name="overwrite_option">RoboRA!$J$2</definedName>
    <definedName name="panl_id">Advanced!$D$13</definedName>
    <definedName name="PC_connect_string" localSheetId="9">HiddenSettings!$B$4</definedName>
    <definedName name="pgm_annc_id">Advanced!$D$15</definedName>
    <definedName name="pgm_ele_code">Advanced!$D$18</definedName>
    <definedName name="PO_id">Budgets!$K$2</definedName>
    <definedName name="prop_atr_code">Advanced!$D$22</definedName>
    <definedName name="prop_stts_abbr">Advanced!#REF!</definedName>
    <definedName name="prop_stts_code" localSheetId="6">Advanced!$D$23</definedName>
    <definedName name="prop_titl_txt">Advanced!$D$21</definedName>
    <definedName name="Query_from_RPTSERVER" localSheetId="3" hidden="1">Budgets!$A$3:$AD$641</definedName>
    <definedName name="Query_from_RPTSERVER" localSheetId="2" hidden="1">ckAwd!$A$1:$AX$144</definedName>
    <definedName name="Query_from_RPTSERVER" localSheetId="1" hidden="1">ckCoding!$A$1:$BL$144</definedName>
    <definedName name="Query_from_RPTSERVER" localSheetId="7" hidden="1">ckSplits!$A$1:$AH$73</definedName>
    <definedName name="Query_from_RPTSERVER" localSheetId="4" hidden="1">PRCs!$A$2:$B$16</definedName>
    <definedName name="Query_from_RPTSERVER" localSheetId="8" hidden="1">ProjText!$B$1:$P$773</definedName>
    <definedName name="Query_from_RPTSERVER" localSheetId="5" hidden="1">RAData!$A$1:$EC$122</definedName>
    <definedName name="Query_from_RPTSERVER_1" localSheetId="4" hidden="1">PRCs!$D$2:$E$6</definedName>
    <definedName name="query_params" localSheetId="6">Advanced!$D$12:$E$22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Advanced!$D$12</definedName>
    <definedName name="user_id" comment="reportserver user_id" localSheetId="9">HiddenSettings!$B$2</definedName>
  </definedNames>
  <calcPr calcId="171027"/>
  <pivotCaches>
    <pivotCache cacheId="0" r:id="rId11"/>
    <pivotCache cacheId="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2" i="12" l="1"/>
  <c r="S3" i="12" s="1"/>
  <c r="S4" i="12" s="1"/>
  <c r="S5" i="12" s="1"/>
  <c r="S6" i="12" s="1"/>
  <c r="S7" i="12" s="1"/>
  <c r="S8" i="12" s="1"/>
  <c r="S9" i="12" s="1"/>
  <c r="S10" i="12" s="1"/>
  <c r="S11" i="12" s="1"/>
  <c r="S12" i="12" s="1"/>
  <c r="S13" i="12" s="1"/>
  <c r="S14" i="12" s="1"/>
  <c r="S15" i="12" s="1"/>
  <c r="S16" i="12" s="1"/>
  <c r="S17" i="12" s="1"/>
  <c r="S18" i="12" s="1"/>
  <c r="S19" i="12" s="1"/>
  <c r="S20" i="12" s="1"/>
  <c r="S21" i="12" s="1"/>
  <c r="S22" i="12" s="1"/>
  <c r="S23" i="12" s="1"/>
  <c r="S24" i="12" s="1"/>
  <c r="S25" i="12" s="1"/>
  <c r="S26" i="12" s="1"/>
  <c r="S27" i="12" s="1"/>
  <c r="S28" i="12" s="1"/>
  <c r="S29" i="12" s="1"/>
  <c r="S30" i="12" s="1"/>
  <c r="S31" i="12" s="1"/>
  <c r="S32" i="12" s="1"/>
  <c r="S33" i="12" s="1"/>
  <c r="S34" i="12" s="1"/>
  <c r="S35" i="12" s="1"/>
  <c r="S36" i="12" s="1"/>
  <c r="S37" i="12" s="1"/>
  <c r="S38" i="12" s="1"/>
  <c r="S39" i="12" s="1"/>
  <c r="S40" i="12" s="1"/>
  <c r="S41" i="12" s="1"/>
  <c r="S42" i="12" s="1"/>
  <c r="S43" i="12" s="1"/>
  <c r="S44" i="12" s="1"/>
  <c r="S45" i="12" s="1"/>
  <c r="S46" i="12" s="1"/>
  <c r="S47" i="12" s="1"/>
  <c r="S48" i="12" s="1"/>
  <c r="S49" i="12" s="1"/>
  <c r="S50" i="12" s="1"/>
  <c r="S51" i="12" s="1"/>
  <c r="S52" i="12" s="1"/>
  <c r="S53" i="12" s="1"/>
  <c r="S54" i="12" s="1"/>
  <c r="S55" i="12" s="1"/>
  <c r="S56" i="12" s="1"/>
  <c r="S57" i="12" s="1"/>
  <c r="S58" i="12" s="1"/>
  <c r="S59" i="12" s="1"/>
  <c r="S60" i="12" s="1"/>
  <c r="S61" i="12" s="1"/>
  <c r="S62" i="12" s="1"/>
  <c r="S63" i="12" s="1"/>
  <c r="S64" i="12" s="1"/>
  <c r="S65" i="12" s="1"/>
  <c r="S66" i="12" s="1"/>
  <c r="S67" i="12" s="1"/>
  <c r="S68" i="12" s="1"/>
  <c r="S69" i="12" s="1"/>
  <c r="S70" i="12" s="1"/>
  <c r="S71" i="12" s="1"/>
  <c r="S72" i="12" s="1"/>
  <c r="S73" i="12" s="1"/>
  <c r="V2" i="12"/>
  <c r="V3" i="12"/>
  <c r="V4" i="12"/>
  <c r="V5" i="12"/>
  <c r="V6" i="12"/>
  <c r="V7" i="12"/>
  <c r="V8" i="12"/>
  <c r="V9" i="12"/>
  <c r="V10" i="12"/>
  <c r="V11"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V38" i="12"/>
  <c r="V39" i="12"/>
  <c r="V40" i="12"/>
  <c r="V41" i="12"/>
  <c r="V42" i="12"/>
  <c r="V43" i="12"/>
  <c r="V44" i="12"/>
  <c r="V45" i="12"/>
  <c r="V46" i="12"/>
  <c r="V47" i="12"/>
  <c r="V48" i="12"/>
  <c r="V49" i="12"/>
  <c r="V50" i="12"/>
  <c r="V51" i="12"/>
  <c r="V52" i="12"/>
  <c r="V53" i="12"/>
  <c r="V54" i="12"/>
  <c r="V55" i="12"/>
  <c r="V56" i="12"/>
  <c r="V57" i="12"/>
  <c r="V58" i="12"/>
  <c r="V59" i="12"/>
  <c r="V60" i="12"/>
  <c r="V61" i="12"/>
  <c r="V62" i="12"/>
  <c r="V63" i="12"/>
  <c r="V64" i="12"/>
  <c r="V65" i="12"/>
  <c r="V66" i="12"/>
  <c r="V67" i="12"/>
  <c r="V68" i="12"/>
  <c r="V69" i="12"/>
  <c r="V70" i="12"/>
  <c r="V71" i="12"/>
  <c r="V72" i="12"/>
  <c r="V73" i="12"/>
  <c r="AB2" i="12"/>
  <c r="AB3"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M2" i="10"/>
  <c r="M3" i="10" s="1"/>
  <c r="M4" i="10" s="1"/>
  <c r="M5" i="10" s="1"/>
  <c r="M6" i="10" s="1"/>
  <c r="M7" i="10" s="1"/>
  <c r="M8" i="10" s="1"/>
  <c r="M9" i="10" s="1"/>
  <c r="M10" i="10" s="1"/>
  <c r="M11" i="10" s="1"/>
  <c r="M12" i="10" s="1"/>
  <c r="M13" i="10" s="1"/>
  <c r="M14" i="10" s="1"/>
  <c r="M15" i="10" s="1"/>
  <c r="M16" i="10" s="1"/>
  <c r="M17" i="10" s="1"/>
  <c r="M18" i="10" s="1"/>
  <c r="M19" i="10" s="1"/>
  <c r="M20" i="10" s="1"/>
  <c r="M21" i="10" s="1"/>
  <c r="M22" i="10" s="1"/>
  <c r="M23" i="10" s="1"/>
  <c r="M24" i="10" s="1"/>
  <c r="M25" i="10" s="1"/>
  <c r="M26" i="10" s="1"/>
  <c r="M27" i="10" s="1"/>
  <c r="M28" i="10" s="1"/>
  <c r="M29" i="10" s="1"/>
  <c r="M30" i="10" s="1"/>
  <c r="M31" i="10" s="1"/>
  <c r="M32" i="10" s="1"/>
  <c r="M33" i="10" s="1"/>
  <c r="M34" i="10" s="1"/>
  <c r="M35" i="10" s="1"/>
  <c r="M36" i="10" s="1"/>
  <c r="M37" i="10" s="1"/>
  <c r="M38" i="10" s="1"/>
  <c r="M39" i="10" s="1"/>
  <c r="M40" i="10" s="1"/>
  <c r="M41" i="10" s="1"/>
  <c r="M42" i="10" s="1"/>
  <c r="M43" i="10" s="1"/>
  <c r="M44" i="10" s="1"/>
  <c r="M45" i="10" s="1"/>
  <c r="M46" i="10" s="1"/>
  <c r="M47" i="10" s="1"/>
  <c r="M48" i="10" s="1"/>
  <c r="M49" i="10" s="1"/>
  <c r="M50" i="10" s="1"/>
  <c r="M51" i="10" s="1"/>
  <c r="M52" i="10" s="1"/>
  <c r="M53" i="10" s="1"/>
  <c r="M54" i="10" s="1"/>
  <c r="M55" i="10" s="1"/>
  <c r="M56" i="10" s="1"/>
  <c r="M57" i="10" s="1"/>
  <c r="M58" i="10" s="1"/>
  <c r="M59" i="10" s="1"/>
  <c r="M60" i="10" s="1"/>
  <c r="M61" i="10" s="1"/>
  <c r="M62" i="10" s="1"/>
  <c r="M63" i="10" s="1"/>
  <c r="M64" i="10" s="1"/>
  <c r="M65" i="10" s="1"/>
  <c r="M66" i="10" s="1"/>
  <c r="M67" i="10" s="1"/>
  <c r="M68" i="10" s="1"/>
  <c r="M69" i="10" s="1"/>
  <c r="M70" i="10" s="1"/>
  <c r="M71" i="10" s="1"/>
  <c r="M72" i="10" s="1"/>
  <c r="M73" i="10" s="1"/>
  <c r="M74" i="10" s="1"/>
  <c r="M75" i="10" s="1"/>
  <c r="M76" i="10" s="1"/>
  <c r="M77" i="10" s="1"/>
  <c r="M78" i="10" s="1"/>
  <c r="M79" i="10" s="1"/>
  <c r="M80" i="10" s="1"/>
  <c r="M81" i="10" s="1"/>
  <c r="M82" i="10" s="1"/>
  <c r="M83" i="10" s="1"/>
  <c r="M84" i="10" s="1"/>
  <c r="M85" i="10" s="1"/>
  <c r="M86" i="10" s="1"/>
  <c r="M87" i="10" s="1"/>
  <c r="M88" i="10" s="1"/>
  <c r="M89" i="10" s="1"/>
  <c r="M90" i="10" s="1"/>
  <c r="M91" i="10" s="1"/>
  <c r="M92" i="10" s="1"/>
  <c r="M93" i="10" s="1"/>
  <c r="M94" i="10" s="1"/>
  <c r="M95" i="10" s="1"/>
  <c r="M96" i="10" s="1"/>
  <c r="M97" i="10" s="1"/>
  <c r="M98" i="10" s="1"/>
  <c r="M99" i="10" s="1"/>
  <c r="M100" i="10" s="1"/>
  <c r="M101" i="10" s="1"/>
  <c r="M102" i="10" s="1"/>
  <c r="M103" i="10" s="1"/>
  <c r="M104" i="10" s="1"/>
  <c r="M105" i="10" s="1"/>
  <c r="M106" i="10" s="1"/>
  <c r="M107" i="10" s="1"/>
  <c r="M108" i="10" s="1"/>
  <c r="M109" i="10" s="1"/>
  <c r="M110" i="10" s="1"/>
  <c r="M111" i="10" s="1"/>
  <c r="M112" i="10" s="1"/>
  <c r="M113" i="10" s="1"/>
  <c r="M114" i="10" s="1"/>
  <c r="M115" i="10" s="1"/>
  <c r="M116" i="10" s="1"/>
  <c r="M117" i="10" s="1"/>
  <c r="M118" i="10" s="1"/>
  <c r="M119" i="10" s="1"/>
  <c r="M120" i="10" s="1"/>
  <c r="M121" i="10" s="1"/>
  <c r="M122" i="10" s="1"/>
  <c r="M123" i="10" s="1"/>
  <c r="M124" i="10" s="1"/>
  <c r="M125" i="10" s="1"/>
  <c r="M126" i="10" s="1"/>
  <c r="M127" i="10" s="1"/>
  <c r="M128" i="10" s="1"/>
  <c r="M129" i="10" s="1"/>
  <c r="M130" i="10" s="1"/>
  <c r="M131" i="10" s="1"/>
  <c r="M132" i="10" s="1"/>
  <c r="M133" i="10" s="1"/>
  <c r="M134" i="10" s="1"/>
  <c r="M135" i="10" s="1"/>
  <c r="M136" i="10" s="1"/>
  <c r="M137" i="10" s="1"/>
  <c r="M138" i="10" s="1"/>
  <c r="M139" i="10" s="1"/>
  <c r="M140" i="10" s="1"/>
  <c r="M141" i="10" s="1"/>
  <c r="M142" i="10" s="1"/>
  <c r="M143" i="10" s="1"/>
  <c r="M144" i="10" s="1"/>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38" i="10"/>
  <c r="P139" i="10"/>
  <c r="P140" i="10"/>
  <c r="P141" i="10"/>
  <c r="P142" i="10"/>
  <c r="P143" i="10"/>
  <c r="P144"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W103" i="10"/>
  <c r="W104" i="10"/>
  <c r="W105" i="10"/>
  <c r="W106" i="10"/>
  <c r="W107" i="10"/>
  <c r="W108" i="10"/>
  <c r="W109" i="10"/>
  <c r="W110" i="10"/>
  <c r="W111" i="10"/>
  <c r="W112" i="10"/>
  <c r="W113" i="10"/>
  <c r="W114" i="10"/>
  <c r="W115" i="10"/>
  <c r="W116" i="10"/>
  <c r="W117" i="10"/>
  <c r="W118" i="10"/>
  <c r="W119" i="10"/>
  <c r="W120" i="10"/>
  <c r="W121" i="10"/>
  <c r="W122" i="10"/>
  <c r="W123" i="10"/>
  <c r="W124" i="10"/>
  <c r="W125" i="10"/>
  <c r="W126" i="10"/>
  <c r="W127" i="10"/>
  <c r="W128" i="10"/>
  <c r="W129" i="10"/>
  <c r="W130" i="10"/>
  <c r="W131" i="10"/>
  <c r="W132" i="10"/>
  <c r="W133" i="10"/>
  <c r="W134" i="10"/>
  <c r="W135" i="10"/>
  <c r="W136" i="10"/>
  <c r="W137" i="10"/>
  <c r="W138" i="10"/>
  <c r="W139" i="10"/>
  <c r="W140" i="10"/>
  <c r="W141" i="10"/>
  <c r="W142" i="10"/>
  <c r="W143" i="10"/>
  <c r="W144" i="10"/>
  <c r="AT2" i="10"/>
  <c r="AT3" i="10"/>
  <c r="AT4" i="10"/>
  <c r="AT5" i="10"/>
  <c r="AT6" i="10"/>
  <c r="AT7" i="10"/>
  <c r="AT8" i="10"/>
  <c r="AT9" i="10"/>
  <c r="AT10" i="10"/>
  <c r="AT11" i="10"/>
  <c r="AT12" i="10"/>
  <c r="AT13" i="10"/>
  <c r="AT14" i="10"/>
  <c r="AT15" i="10"/>
  <c r="AT16" i="10"/>
  <c r="AT17" i="10"/>
  <c r="AT18" i="10"/>
  <c r="AT19" i="10"/>
  <c r="AT20" i="10"/>
  <c r="AT21" i="10"/>
  <c r="AT22" i="10"/>
  <c r="AT23" i="10"/>
  <c r="AT24" i="10"/>
  <c r="AT25" i="10"/>
  <c r="AT26" i="10"/>
  <c r="AT27" i="10"/>
  <c r="AT28" i="10"/>
  <c r="AT29" i="10"/>
  <c r="AT30" i="10"/>
  <c r="AT31" i="10"/>
  <c r="AT32" i="10"/>
  <c r="AT33" i="10"/>
  <c r="AT34" i="10"/>
  <c r="AT35" i="10"/>
  <c r="AT36" i="10"/>
  <c r="AT37" i="10"/>
  <c r="AT38" i="10"/>
  <c r="AT39" i="10"/>
  <c r="AT40" i="10"/>
  <c r="AT41" i="10"/>
  <c r="AT42" i="10"/>
  <c r="AT43" i="10"/>
  <c r="AT44" i="10"/>
  <c r="AT45" i="10"/>
  <c r="AT46" i="10"/>
  <c r="AT47" i="10"/>
  <c r="AT48" i="10"/>
  <c r="AT49" i="10"/>
  <c r="AT50" i="10"/>
  <c r="AT51" i="10"/>
  <c r="AT52" i="10"/>
  <c r="AT53" i="10"/>
  <c r="AT54" i="10"/>
  <c r="AT55" i="10"/>
  <c r="AT56" i="10"/>
  <c r="AT57" i="10"/>
  <c r="AT58" i="10"/>
  <c r="AT59" i="10"/>
  <c r="AT60" i="10"/>
  <c r="AT61" i="10"/>
  <c r="AT62" i="10"/>
  <c r="AT63" i="10"/>
  <c r="AT64" i="10"/>
  <c r="AT65" i="10"/>
  <c r="AT66" i="10"/>
  <c r="AT67" i="10"/>
  <c r="AT68" i="10"/>
  <c r="AT69" i="10"/>
  <c r="AT70" i="10"/>
  <c r="AT71" i="10"/>
  <c r="AT72" i="10"/>
  <c r="AT73" i="10"/>
  <c r="AT74" i="10"/>
  <c r="AT75" i="10"/>
  <c r="AT76" i="10"/>
  <c r="AT77" i="10"/>
  <c r="AT78" i="10"/>
  <c r="AT79" i="10"/>
  <c r="AT80" i="10"/>
  <c r="AT81" i="10"/>
  <c r="AT82" i="10"/>
  <c r="AT83" i="10"/>
  <c r="AT84" i="10"/>
  <c r="AT85" i="10"/>
  <c r="AT86" i="10"/>
  <c r="AT87" i="10"/>
  <c r="AT88" i="10"/>
  <c r="AT89" i="10"/>
  <c r="AT90" i="10"/>
  <c r="AT91" i="10"/>
  <c r="AT92" i="10"/>
  <c r="AT93" i="10"/>
  <c r="AT94" i="10"/>
  <c r="AT95" i="10"/>
  <c r="AT96" i="10"/>
  <c r="AT97" i="10"/>
  <c r="AT98" i="10"/>
  <c r="AT99" i="10"/>
  <c r="AT100" i="10"/>
  <c r="AT101" i="10"/>
  <c r="AT102" i="10"/>
  <c r="AT103" i="10"/>
  <c r="AT104" i="10"/>
  <c r="AT105" i="10"/>
  <c r="AT106" i="10"/>
  <c r="AT107" i="10"/>
  <c r="AT108" i="10"/>
  <c r="AT109" i="10"/>
  <c r="AT110" i="10"/>
  <c r="AT111" i="10"/>
  <c r="AT112" i="10"/>
  <c r="AT113" i="10"/>
  <c r="AT114" i="10"/>
  <c r="AT115" i="10"/>
  <c r="AT116" i="10"/>
  <c r="AT117" i="10"/>
  <c r="AT118" i="10"/>
  <c r="AT119" i="10"/>
  <c r="AT120" i="10"/>
  <c r="AT121" i="10"/>
  <c r="AT122" i="10"/>
  <c r="AT123" i="10"/>
  <c r="AT124" i="10"/>
  <c r="AT125" i="10"/>
  <c r="AT126" i="10"/>
  <c r="AT127" i="10"/>
  <c r="AT128" i="10"/>
  <c r="AT129" i="10"/>
  <c r="AT130" i="10"/>
  <c r="AT131" i="10"/>
  <c r="AT132" i="10"/>
  <c r="AT133" i="10"/>
  <c r="AT135" i="10"/>
  <c r="AT136" i="10"/>
  <c r="AT137" i="10"/>
  <c r="AT138" i="10"/>
  <c r="AT139" i="10"/>
  <c r="AT140" i="10"/>
  <c r="AT141" i="10"/>
  <c r="AT142" i="10"/>
  <c r="AT143" i="10"/>
  <c r="AT144"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AW60" i="10"/>
  <c r="AW61" i="10"/>
  <c r="AW62" i="10"/>
  <c r="AW63" i="10"/>
  <c r="AW64" i="10"/>
  <c r="AW65" i="10"/>
  <c r="AW66" i="10"/>
  <c r="AW67" i="10"/>
  <c r="AW68" i="10"/>
  <c r="AW69" i="10"/>
  <c r="AW70" i="10"/>
  <c r="AW71" i="10"/>
  <c r="AW72" i="10"/>
  <c r="AW73" i="10"/>
  <c r="AW74" i="10"/>
  <c r="AW75" i="10"/>
  <c r="AW76" i="10"/>
  <c r="AW77" i="10"/>
  <c r="AW78" i="10"/>
  <c r="AW79" i="10"/>
  <c r="AW80" i="10"/>
  <c r="AW81" i="10"/>
  <c r="AW82" i="10"/>
  <c r="AW83" i="10"/>
  <c r="AW84" i="10"/>
  <c r="AW85" i="10"/>
  <c r="AW86" i="10"/>
  <c r="AW87" i="10"/>
  <c r="AW88" i="10"/>
  <c r="AW89" i="10"/>
  <c r="AW90" i="10"/>
  <c r="AW91" i="10"/>
  <c r="AW92" i="10"/>
  <c r="AW93" i="10"/>
  <c r="AW94" i="10"/>
  <c r="AW95" i="10"/>
  <c r="AW96" i="10"/>
  <c r="AW97" i="10"/>
  <c r="AW98" i="10"/>
  <c r="AW99" i="10"/>
  <c r="AW100" i="10"/>
  <c r="AW101" i="10"/>
  <c r="AW102" i="10"/>
  <c r="AW103" i="10"/>
  <c r="AW104" i="10"/>
  <c r="AW105" i="10"/>
  <c r="AW106" i="10"/>
  <c r="AW107" i="10"/>
  <c r="AW108" i="10"/>
  <c r="AW109" i="10"/>
  <c r="AW110" i="10"/>
  <c r="AW111" i="10"/>
  <c r="AW112" i="10"/>
  <c r="AW113" i="10"/>
  <c r="AW114" i="10"/>
  <c r="AW115" i="10"/>
  <c r="AW116" i="10"/>
  <c r="AW117" i="10"/>
  <c r="AW118" i="10"/>
  <c r="AW119" i="10"/>
  <c r="AW120" i="10"/>
  <c r="AW121" i="10"/>
  <c r="AW122" i="10"/>
  <c r="AW123" i="10"/>
  <c r="AW124" i="10"/>
  <c r="AW125" i="10"/>
  <c r="AW126" i="10"/>
  <c r="AW127" i="10"/>
  <c r="AW128" i="10"/>
  <c r="AW129" i="10"/>
  <c r="AW130" i="10"/>
  <c r="AW131" i="10"/>
  <c r="AW132" i="10"/>
  <c r="AW133" i="10"/>
  <c r="AW134" i="10"/>
  <c r="AW135" i="10"/>
  <c r="AW136" i="10"/>
  <c r="AW137" i="10"/>
  <c r="AW138" i="10"/>
  <c r="AW139" i="10"/>
  <c r="AW140" i="10"/>
  <c r="AW141" i="10"/>
  <c r="AW142" i="10"/>
  <c r="AW143" i="10"/>
  <c r="AW144" i="10"/>
  <c r="C4" i="13"/>
  <c r="C5" i="13" s="1"/>
  <c r="C6" i="13" s="1"/>
  <c r="C7" i="13" s="1"/>
  <c r="C8" i="13" s="1"/>
  <c r="C9" i="13" s="1"/>
  <c r="C10" i="13" s="1"/>
  <c r="C11" i="13" s="1"/>
  <c r="C12" i="13" s="1"/>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100" i="13" s="1"/>
  <c r="C101" i="13" s="1"/>
  <c r="C102" i="13" s="1"/>
  <c r="C103" i="13" s="1"/>
  <c r="C104" i="13" s="1"/>
  <c r="C105" i="13" s="1"/>
  <c r="C106" i="13" s="1"/>
  <c r="C107" i="13" s="1"/>
  <c r="C108" i="13" s="1"/>
  <c r="C109" i="13" s="1"/>
  <c r="C110" i="13" s="1"/>
  <c r="C111" i="13" s="1"/>
  <c r="C112" i="13" s="1"/>
  <c r="C113" i="13" s="1"/>
  <c r="C114" i="13" s="1"/>
  <c r="C115" i="13" s="1"/>
  <c r="C116" i="13" s="1"/>
  <c r="C117" i="13" s="1"/>
  <c r="C118" i="13" s="1"/>
  <c r="C119" i="13" s="1"/>
  <c r="C120" i="13" s="1"/>
  <c r="C121" i="13" s="1"/>
  <c r="C122" i="13" s="1"/>
  <c r="C123" i="13" s="1"/>
  <c r="C124" i="13" s="1"/>
  <c r="C125" i="13" s="1"/>
  <c r="C126" i="13" s="1"/>
  <c r="C127" i="13" s="1"/>
  <c r="C128" i="13" s="1"/>
  <c r="C129" i="13" s="1"/>
  <c r="C130" i="13" s="1"/>
  <c r="C131" i="13" s="1"/>
  <c r="C132" i="13" s="1"/>
  <c r="C133" i="13" s="1"/>
  <c r="C134" i="13" s="1"/>
  <c r="C135" i="13" s="1"/>
  <c r="C136" i="13" s="1"/>
  <c r="C137" i="13" s="1"/>
  <c r="C138" i="13" s="1"/>
  <c r="C139" i="13" s="1"/>
  <c r="C140" i="13" s="1"/>
  <c r="C141" i="13" s="1"/>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C191" i="13" s="1"/>
  <c r="C192" i="13" s="1"/>
  <c r="C193" i="13" s="1"/>
  <c r="C194" i="13" s="1"/>
  <c r="C195" i="13" s="1"/>
  <c r="C196" i="13" s="1"/>
  <c r="C197" i="13" s="1"/>
  <c r="C198" i="13" s="1"/>
  <c r="C199" i="13" s="1"/>
  <c r="C200" i="13" s="1"/>
  <c r="C201" i="13" s="1"/>
  <c r="C202" i="13" s="1"/>
  <c r="C203" i="13" s="1"/>
  <c r="C204" i="13" s="1"/>
  <c r="C205" i="13" s="1"/>
  <c r="C206" i="13" s="1"/>
  <c r="C207" i="13" s="1"/>
  <c r="C208" i="13" s="1"/>
  <c r="C209" i="13" s="1"/>
  <c r="C210" i="13" s="1"/>
  <c r="C211" i="13" s="1"/>
  <c r="C212" i="13" s="1"/>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0" i="13" s="1"/>
  <c r="C241" i="13" s="1"/>
  <c r="C242" i="13" s="1"/>
  <c r="C243" i="13" s="1"/>
  <c r="C244" i="13" s="1"/>
  <c r="C245" i="13" s="1"/>
  <c r="C246" i="13" s="1"/>
  <c r="C247" i="13" s="1"/>
  <c r="C248" i="13" s="1"/>
  <c r="C249" i="13" s="1"/>
  <c r="C250" i="13" s="1"/>
  <c r="C251" i="13" s="1"/>
  <c r="C252" i="13" s="1"/>
  <c r="C253" i="13" s="1"/>
  <c r="C254" i="13" s="1"/>
  <c r="C255" i="13" s="1"/>
  <c r="C256" i="13" s="1"/>
  <c r="C257" i="13" s="1"/>
  <c r="C258" i="13" s="1"/>
  <c r="C259" i="13" s="1"/>
  <c r="C260" i="13" s="1"/>
  <c r="C261" i="13" s="1"/>
  <c r="C262" i="13" s="1"/>
  <c r="C263" i="13" s="1"/>
  <c r="C264" i="13" s="1"/>
  <c r="C265" i="13" s="1"/>
  <c r="C266" i="13" s="1"/>
  <c r="C267" i="13" s="1"/>
  <c r="C268" i="13" s="1"/>
  <c r="C269" i="13" s="1"/>
  <c r="C270" i="13" s="1"/>
  <c r="C271" i="13" s="1"/>
  <c r="C272" i="13" s="1"/>
  <c r="C273" i="13" s="1"/>
  <c r="C274" i="13" s="1"/>
  <c r="C275" i="13" s="1"/>
  <c r="C276" i="13" s="1"/>
  <c r="C277" i="13" s="1"/>
  <c r="C278" i="13" s="1"/>
  <c r="C279" i="13" s="1"/>
  <c r="C280" i="13" s="1"/>
  <c r="C281" i="13" s="1"/>
  <c r="C282" i="13" s="1"/>
  <c r="C283" i="13" s="1"/>
  <c r="C284" i="13" s="1"/>
  <c r="C285" i="13" s="1"/>
  <c r="C286" i="13" s="1"/>
  <c r="C287" i="13" s="1"/>
  <c r="C288" i="13" s="1"/>
  <c r="C289" i="13" s="1"/>
  <c r="C290" i="13" s="1"/>
  <c r="C291" i="13" s="1"/>
  <c r="C292" i="13" s="1"/>
  <c r="C293" i="13" s="1"/>
  <c r="C294" i="13" s="1"/>
  <c r="C295" i="13" s="1"/>
  <c r="C296" i="13" s="1"/>
  <c r="C297" i="13" s="1"/>
  <c r="C298" i="13" s="1"/>
  <c r="C299" i="13" s="1"/>
  <c r="C300" i="13" s="1"/>
  <c r="C301" i="13" s="1"/>
  <c r="C302" i="13" s="1"/>
  <c r="C303" i="13" s="1"/>
  <c r="C304" i="13" s="1"/>
  <c r="C305" i="13" s="1"/>
  <c r="C306" i="13" s="1"/>
  <c r="C307" i="13" s="1"/>
  <c r="C308" i="13" s="1"/>
  <c r="C309" i="13" s="1"/>
  <c r="C310" i="13" s="1"/>
  <c r="C311" i="13" s="1"/>
  <c r="C312" i="13" s="1"/>
  <c r="C313" i="13" s="1"/>
  <c r="C314" i="13" s="1"/>
  <c r="C315" i="13" s="1"/>
  <c r="C316" i="13" s="1"/>
  <c r="C317" i="13" s="1"/>
  <c r="C318" i="13" s="1"/>
  <c r="C319" i="13" s="1"/>
  <c r="C320" i="13" s="1"/>
  <c r="C321" i="13" s="1"/>
  <c r="C322" i="13" s="1"/>
  <c r="C323" i="13" s="1"/>
  <c r="C324" i="13" s="1"/>
  <c r="C325" i="13" s="1"/>
  <c r="C326" i="13" s="1"/>
  <c r="C327" i="13" s="1"/>
  <c r="C328" i="13" s="1"/>
  <c r="C329" i="13" s="1"/>
  <c r="C330" i="13" s="1"/>
  <c r="C331" i="13" s="1"/>
  <c r="C332" i="13" s="1"/>
  <c r="C333" i="13" s="1"/>
  <c r="C334" i="13" s="1"/>
  <c r="C335" i="13" s="1"/>
  <c r="C336" i="13" s="1"/>
  <c r="C337" i="13" s="1"/>
  <c r="C338" i="13" s="1"/>
  <c r="C339" i="13" s="1"/>
  <c r="C340" i="13" s="1"/>
  <c r="C341" i="13" s="1"/>
  <c r="C342" i="13" s="1"/>
  <c r="C343" i="13" s="1"/>
  <c r="C344" i="13" s="1"/>
  <c r="C345" i="13" s="1"/>
  <c r="C346" i="13" s="1"/>
  <c r="C347" i="13" s="1"/>
  <c r="C348" i="13" s="1"/>
  <c r="C349" i="13" s="1"/>
  <c r="C350" i="13" s="1"/>
  <c r="C351" i="13" s="1"/>
  <c r="C352" i="13" s="1"/>
  <c r="C353" i="13" s="1"/>
  <c r="C354" i="13" s="1"/>
  <c r="C355" i="13" s="1"/>
  <c r="C356" i="13" s="1"/>
  <c r="C357" i="13" s="1"/>
  <c r="C358" i="13" s="1"/>
  <c r="C359" i="13" s="1"/>
  <c r="C360" i="13" s="1"/>
  <c r="C361" i="13" s="1"/>
  <c r="C362" i="13" s="1"/>
  <c r="C363" i="13" s="1"/>
  <c r="C364" i="13" s="1"/>
  <c r="C365" i="13" s="1"/>
  <c r="C366" i="13" s="1"/>
  <c r="C367" i="13" s="1"/>
  <c r="C368" i="13" s="1"/>
  <c r="C369" i="13" s="1"/>
  <c r="C370" i="13" s="1"/>
  <c r="C371" i="13" s="1"/>
  <c r="C372" i="13" s="1"/>
  <c r="C373" i="13" s="1"/>
  <c r="C374" i="13" s="1"/>
  <c r="C375" i="13" s="1"/>
  <c r="C376" i="13" s="1"/>
  <c r="C377" i="13" s="1"/>
  <c r="C378" i="13" s="1"/>
  <c r="C379" i="13" s="1"/>
  <c r="C380" i="13" s="1"/>
  <c r="C381" i="13" s="1"/>
  <c r="C382" i="13" s="1"/>
  <c r="C383" i="13" s="1"/>
  <c r="C384" i="13" s="1"/>
  <c r="C385" i="13" s="1"/>
  <c r="C386" i="13" s="1"/>
  <c r="C387" i="13" s="1"/>
  <c r="C388" i="13" s="1"/>
  <c r="C389" i="13" s="1"/>
  <c r="C390" i="13" s="1"/>
  <c r="C391" i="13" s="1"/>
  <c r="C392" i="13" s="1"/>
  <c r="C393" i="13" s="1"/>
  <c r="C394" i="13" s="1"/>
  <c r="C395" i="13" s="1"/>
  <c r="C396" i="13" s="1"/>
  <c r="C397" i="13" s="1"/>
  <c r="C398" i="13" s="1"/>
  <c r="C399" i="13" s="1"/>
  <c r="C400" i="13" s="1"/>
  <c r="C401" i="13" s="1"/>
  <c r="C402" i="13" s="1"/>
  <c r="C403" i="13" s="1"/>
  <c r="C404" i="13" s="1"/>
  <c r="C405" i="13" s="1"/>
  <c r="C406" i="13" s="1"/>
  <c r="C407" i="13" s="1"/>
  <c r="C408" i="13" s="1"/>
  <c r="C409" i="13" s="1"/>
  <c r="C410" i="13" s="1"/>
  <c r="C411" i="13" s="1"/>
  <c r="C412" i="13" s="1"/>
  <c r="C413" i="13" s="1"/>
  <c r="C414" i="13" s="1"/>
  <c r="C415" i="13" s="1"/>
  <c r="C416" i="13" s="1"/>
  <c r="C417" i="13" s="1"/>
  <c r="C418" i="13" s="1"/>
  <c r="C419" i="13" s="1"/>
  <c r="C420" i="13" s="1"/>
  <c r="C421" i="13" s="1"/>
  <c r="C422" i="13" s="1"/>
  <c r="C423" i="13" s="1"/>
  <c r="C424" i="13" s="1"/>
  <c r="C425" i="13" s="1"/>
  <c r="C426" i="13" s="1"/>
  <c r="C427" i="13" s="1"/>
  <c r="C428" i="13" s="1"/>
  <c r="C429" i="13" s="1"/>
  <c r="C430" i="13" s="1"/>
  <c r="C431" i="13" s="1"/>
  <c r="C432" i="13" s="1"/>
  <c r="C433" i="13" s="1"/>
  <c r="C434" i="13" s="1"/>
  <c r="C435" i="13" s="1"/>
  <c r="C436" i="13" s="1"/>
  <c r="C437" i="13" s="1"/>
  <c r="C438" i="13" s="1"/>
  <c r="C439" i="13" s="1"/>
  <c r="C440" i="13" s="1"/>
  <c r="C441" i="13" s="1"/>
  <c r="C442" i="13" s="1"/>
  <c r="C443" i="13" s="1"/>
  <c r="C444" i="13" s="1"/>
  <c r="C445" i="13" s="1"/>
  <c r="C446" i="13" s="1"/>
  <c r="C447" i="13" s="1"/>
  <c r="C448" i="13" s="1"/>
  <c r="C449" i="13" s="1"/>
  <c r="C450" i="13" s="1"/>
  <c r="C451" i="13" s="1"/>
  <c r="C452" i="13" s="1"/>
  <c r="C453" i="13" s="1"/>
  <c r="C454" i="13" s="1"/>
  <c r="C455" i="13" s="1"/>
  <c r="C456" i="13" s="1"/>
  <c r="C457" i="13" s="1"/>
  <c r="C458" i="13" s="1"/>
  <c r="C459" i="13" s="1"/>
  <c r="C460" i="13" s="1"/>
  <c r="C461" i="13" s="1"/>
  <c r="C462" i="13" s="1"/>
  <c r="C463" i="13" s="1"/>
  <c r="C464" i="13" s="1"/>
  <c r="C465" i="13" s="1"/>
  <c r="C466" i="13" s="1"/>
  <c r="C467" i="13" s="1"/>
  <c r="C468" i="13" s="1"/>
  <c r="C469" i="13" s="1"/>
  <c r="C470" i="13" s="1"/>
  <c r="C471" i="13" s="1"/>
  <c r="C472" i="13" s="1"/>
  <c r="C473" i="13" s="1"/>
  <c r="C474" i="13" s="1"/>
  <c r="C475" i="13" s="1"/>
  <c r="C476" i="13" s="1"/>
  <c r="C477" i="13" s="1"/>
  <c r="C478" i="13" s="1"/>
  <c r="C479" i="13" s="1"/>
  <c r="C480" i="13" s="1"/>
  <c r="C481" i="13" s="1"/>
  <c r="C482" i="13" s="1"/>
  <c r="C483" i="13" s="1"/>
  <c r="C484" i="13" s="1"/>
  <c r="C485" i="13" s="1"/>
  <c r="C486" i="13" s="1"/>
  <c r="C487" i="13" s="1"/>
  <c r="C488" i="13" s="1"/>
  <c r="C489" i="13" s="1"/>
  <c r="C490" i="13" s="1"/>
  <c r="C491" i="13" s="1"/>
  <c r="C492" i="13" s="1"/>
  <c r="C493" i="13" s="1"/>
  <c r="C494" i="13" s="1"/>
  <c r="C495" i="13" s="1"/>
  <c r="C496" i="13" s="1"/>
  <c r="C497" i="13" s="1"/>
  <c r="C498" i="13" s="1"/>
  <c r="C499" i="13" s="1"/>
  <c r="C500" i="13" s="1"/>
  <c r="C501" i="13" s="1"/>
  <c r="C502" i="13" s="1"/>
  <c r="C503" i="13" s="1"/>
  <c r="C504" i="13" s="1"/>
  <c r="C505" i="13" s="1"/>
  <c r="C506" i="13" s="1"/>
  <c r="C507" i="13" s="1"/>
  <c r="C508" i="13" s="1"/>
  <c r="C509" i="13" s="1"/>
  <c r="C510" i="13" s="1"/>
  <c r="C511" i="13" s="1"/>
  <c r="C512" i="13" s="1"/>
  <c r="C513" i="13" s="1"/>
  <c r="C514" i="13" s="1"/>
  <c r="C515" i="13" s="1"/>
  <c r="C516" i="13" s="1"/>
  <c r="C517" i="13" s="1"/>
  <c r="C518" i="13" s="1"/>
  <c r="C519" i="13" s="1"/>
  <c r="C520" i="13" s="1"/>
  <c r="C521" i="13" s="1"/>
  <c r="C522" i="13" s="1"/>
  <c r="C523" i="13" s="1"/>
  <c r="C524" i="13" s="1"/>
  <c r="C525" i="13" s="1"/>
  <c r="C526" i="13" s="1"/>
  <c r="C527" i="13" s="1"/>
  <c r="C528" i="13" s="1"/>
  <c r="C529" i="13" s="1"/>
  <c r="C530" i="13" s="1"/>
  <c r="C531" i="13" s="1"/>
  <c r="C532" i="13" s="1"/>
  <c r="C533" i="13" s="1"/>
  <c r="C534" i="13" s="1"/>
  <c r="C535" i="13" s="1"/>
  <c r="C536" i="13" s="1"/>
  <c r="C537" i="13" s="1"/>
  <c r="C538" i="13" s="1"/>
  <c r="C539" i="13" s="1"/>
  <c r="C540" i="13" s="1"/>
  <c r="C541" i="13" s="1"/>
  <c r="C542" i="13" s="1"/>
  <c r="C543" i="13" s="1"/>
  <c r="C544" i="13" s="1"/>
  <c r="C545" i="13" s="1"/>
  <c r="C546" i="13" s="1"/>
  <c r="C547" i="13" s="1"/>
  <c r="C548" i="13" s="1"/>
  <c r="C549" i="13" s="1"/>
  <c r="C550" i="13" s="1"/>
  <c r="C551" i="13" s="1"/>
  <c r="C552" i="13" s="1"/>
  <c r="C553" i="13" s="1"/>
  <c r="C554" i="13" s="1"/>
  <c r="C555" i="13" s="1"/>
  <c r="C556" i="13" s="1"/>
  <c r="C557" i="13" s="1"/>
  <c r="C558" i="13" s="1"/>
  <c r="C559" i="13" s="1"/>
  <c r="C560" i="13" s="1"/>
  <c r="C561" i="13" s="1"/>
  <c r="C562" i="13" s="1"/>
  <c r="C563" i="13" s="1"/>
  <c r="C564" i="13" s="1"/>
  <c r="C565" i="13" s="1"/>
  <c r="C566" i="13" s="1"/>
  <c r="C567" i="13" s="1"/>
  <c r="C568" i="13" s="1"/>
  <c r="C569" i="13" s="1"/>
  <c r="C570" i="13" s="1"/>
  <c r="C571" i="13" s="1"/>
  <c r="C572" i="13" s="1"/>
  <c r="C573" i="13" s="1"/>
  <c r="C574" i="13" s="1"/>
  <c r="C575" i="13" s="1"/>
  <c r="C576" i="13" s="1"/>
  <c r="C577" i="13" s="1"/>
  <c r="C578" i="13" s="1"/>
  <c r="C579" i="13" s="1"/>
  <c r="C580" i="13" s="1"/>
  <c r="C581" i="13" s="1"/>
  <c r="C582" i="13" s="1"/>
  <c r="C583" i="13" s="1"/>
  <c r="C584" i="13" s="1"/>
  <c r="C585" i="13" s="1"/>
  <c r="C586" i="13" s="1"/>
  <c r="C587" i="13" s="1"/>
  <c r="C588" i="13" s="1"/>
  <c r="C589" i="13" s="1"/>
  <c r="C590" i="13" s="1"/>
  <c r="C591" i="13" s="1"/>
  <c r="C592" i="13" s="1"/>
  <c r="C593" i="13" s="1"/>
  <c r="C594" i="13" s="1"/>
  <c r="C595" i="13" s="1"/>
  <c r="C596" i="13" s="1"/>
  <c r="C597" i="13" s="1"/>
  <c r="C598" i="13" s="1"/>
  <c r="C599" i="13" s="1"/>
  <c r="C600" i="13" s="1"/>
  <c r="C601" i="13" s="1"/>
  <c r="C602" i="13" s="1"/>
  <c r="C603" i="13" s="1"/>
  <c r="C604" i="13" s="1"/>
  <c r="C605" i="13" s="1"/>
  <c r="C606" i="13" s="1"/>
  <c r="C607" i="13" s="1"/>
  <c r="C608" i="13" s="1"/>
  <c r="C609" i="13" s="1"/>
  <c r="C610" i="13" s="1"/>
  <c r="C611" i="13" s="1"/>
  <c r="C612" i="13" s="1"/>
  <c r="C613" i="13" s="1"/>
  <c r="C614" i="13" s="1"/>
  <c r="C615" i="13" s="1"/>
  <c r="C616" i="13" s="1"/>
  <c r="C617" i="13" s="1"/>
  <c r="C618" i="13" s="1"/>
  <c r="C619" i="13" s="1"/>
  <c r="C620" i="13" s="1"/>
  <c r="C621" i="13" s="1"/>
  <c r="C622" i="13" s="1"/>
  <c r="C623" i="13" s="1"/>
  <c r="C624" i="13" s="1"/>
  <c r="C625" i="13" s="1"/>
  <c r="C626" i="13" s="1"/>
  <c r="C627" i="13" s="1"/>
  <c r="C628" i="13" s="1"/>
  <c r="C629" i="13" s="1"/>
  <c r="C630" i="13" s="1"/>
  <c r="C631" i="13" s="1"/>
  <c r="C632" i="13" s="1"/>
  <c r="C633" i="13" s="1"/>
  <c r="C634" i="13" s="1"/>
  <c r="C635" i="13" s="1"/>
  <c r="C636" i="13" s="1"/>
  <c r="C637" i="13" s="1"/>
  <c r="C638" i="13" s="1"/>
  <c r="C639" i="13" s="1"/>
  <c r="C640" i="13" s="1"/>
  <c r="C641" i="13" s="1"/>
  <c r="D4" i="13"/>
  <c r="D5" i="13" s="1"/>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D27" i="13" s="1"/>
  <c r="D28" i="13" s="1"/>
  <c r="D29" i="13" s="1"/>
  <c r="D30" i="13" s="1"/>
  <c r="D31" i="13" s="1"/>
  <c r="D32" i="13" s="1"/>
  <c r="D33" i="13" s="1"/>
  <c r="D34" i="13" s="1"/>
  <c r="D35" i="13" s="1"/>
  <c r="D36" i="13" s="1"/>
  <c r="D37" i="13" s="1"/>
  <c r="D38" i="13" s="1"/>
  <c r="D39" i="13" s="1"/>
  <c r="D40" i="13" s="1"/>
  <c r="D41" i="13" s="1"/>
  <c r="D42" i="13" s="1"/>
  <c r="D43" i="13" s="1"/>
  <c r="D44" i="13" s="1"/>
  <c r="D45" i="13" s="1"/>
  <c r="D46" i="13" s="1"/>
  <c r="D47" i="13" s="1"/>
  <c r="D48" i="13" s="1"/>
  <c r="D49" i="13" s="1"/>
  <c r="D50" i="13" s="1"/>
  <c r="D51" i="13" s="1"/>
  <c r="D52" i="13" s="1"/>
  <c r="D53" i="13" s="1"/>
  <c r="D54" i="13" s="1"/>
  <c r="D55" i="13" s="1"/>
  <c r="D56" i="13" s="1"/>
  <c r="D57" i="13" s="1"/>
  <c r="D58" i="13" s="1"/>
  <c r="D59" i="13" s="1"/>
  <c r="D60" i="13" s="1"/>
  <c r="D61" i="13" s="1"/>
  <c r="D62" i="13" s="1"/>
  <c r="D63" i="13" s="1"/>
  <c r="D64" i="13" s="1"/>
  <c r="D65" i="13" s="1"/>
  <c r="D66" i="13" s="1"/>
  <c r="D67" i="13" s="1"/>
  <c r="D68" i="13" s="1"/>
  <c r="D69" i="13" s="1"/>
  <c r="D70" i="13" s="1"/>
  <c r="D71" i="13" s="1"/>
  <c r="D72" i="13" s="1"/>
  <c r="D73" i="13" s="1"/>
  <c r="D74" i="13" s="1"/>
  <c r="D75" i="13" s="1"/>
  <c r="D76" i="13" s="1"/>
  <c r="D77" i="13" s="1"/>
  <c r="D78" i="13" s="1"/>
  <c r="D79" i="13" s="1"/>
  <c r="D80" i="13" s="1"/>
  <c r="D81" i="13" s="1"/>
  <c r="D82" i="13" s="1"/>
  <c r="D83" i="13" s="1"/>
  <c r="D84" i="13" s="1"/>
  <c r="D85" i="13" s="1"/>
  <c r="D86" i="13" s="1"/>
  <c r="D87" i="13" s="1"/>
  <c r="D88" i="13" s="1"/>
  <c r="D89" i="13" s="1"/>
  <c r="D90" i="13" s="1"/>
  <c r="D91" i="13" s="1"/>
  <c r="D92" i="13" s="1"/>
  <c r="D93" i="13" s="1"/>
  <c r="D94" i="13" s="1"/>
  <c r="D95" i="13" s="1"/>
  <c r="D96" i="13" s="1"/>
  <c r="D97" i="13" s="1"/>
  <c r="D98" i="13" s="1"/>
  <c r="D99" i="13" s="1"/>
  <c r="D100" i="13" s="1"/>
  <c r="D101" i="13" s="1"/>
  <c r="D102" i="13" s="1"/>
  <c r="D103" i="13" s="1"/>
  <c r="D104" i="13" s="1"/>
  <c r="D105" i="13" s="1"/>
  <c r="D106" i="13" s="1"/>
  <c r="D107" i="13" s="1"/>
  <c r="D108" i="13" s="1"/>
  <c r="D109" i="13" s="1"/>
  <c r="D110" i="13" s="1"/>
  <c r="D111" i="13" s="1"/>
  <c r="D112" i="13" s="1"/>
  <c r="D113" i="13" s="1"/>
  <c r="D114" i="13" s="1"/>
  <c r="D115" i="13" s="1"/>
  <c r="D116" i="13" s="1"/>
  <c r="D117" i="13" s="1"/>
  <c r="D118" i="13" s="1"/>
  <c r="D119" i="13" s="1"/>
  <c r="D120" i="13" s="1"/>
  <c r="D121" i="13" s="1"/>
  <c r="D122" i="13" s="1"/>
  <c r="D123" i="13" s="1"/>
  <c r="D124" i="13" s="1"/>
  <c r="D125" i="13" s="1"/>
  <c r="D126" i="13" s="1"/>
  <c r="D127" i="13" s="1"/>
  <c r="D128" i="13" s="1"/>
  <c r="D129" i="13" s="1"/>
  <c r="D130" i="13" s="1"/>
  <c r="D131" i="13" s="1"/>
  <c r="D132" i="13" s="1"/>
  <c r="D133" i="13" s="1"/>
  <c r="D134" i="13" s="1"/>
  <c r="D135" i="13" s="1"/>
  <c r="D136" i="13" s="1"/>
  <c r="D137" i="13" s="1"/>
  <c r="D138" i="13" s="1"/>
  <c r="D139" i="13" s="1"/>
  <c r="D140" i="13" s="1"/>
  <c r="D141" i="13" s="1"/>
  <c r="D142" i="13" s="1"/>
  <c r="D143" i="13" s="1"/>
  <c r="D144" i="13" s="1"/>
  <c r="D145" i="13" s="1"/>
  <c r="D146" i="13" s="1"/>
  <c r="D147" i="13" s="1"/>
  <c r="D148" i="13" s="1"/>
  <c r="D149" i="13" s="1"/>
  <c r="D150" i="13" s="1"/>
  <c r="D151" i="13" s="1"/>
  <c r="D152" i="13" s="1"/>
  <c r="D153" i="13" s="1"/>
  <c r="D154" i="13" s="1"/>
  <c r="D155" i="13" s="1"/>
  <c r="D156" i="13" s="1"/>
  <c r="D157" i="13" s="1"/>
  <c r="D158" i="13" s="1"/>
  <c r="D159" i="13" s="1"/>
  <c r="D160" i="13" s="1"/>
  <c r="D161" i="13" s="1"/>
  <c r="D162" i="13" s="1"/>
  <c r="D163" i="13" s="1"/>
  <c r="D164" i="13" s="1"/>
  <c r="D165" i="13" s="1"/>
  <c r="D166" i="13" s="1"/>
  <c r="D167" i="13" s="1"/>
  <c r="D168" i="13" s="1"/>
  <c r="D169" i="13" s="1"/>
  <c r="D170" i="13" s="1"/>
  <c r="D171" i="13" s="1"/>
  <c r="D172" i="13" s="1"/>
  <c r="D173" i="13" s="1"/>
  <c r="D174" i="13" s="1"/>
  <c r="D175" i="13" s="1"/>
  <c r="D176" i="13" s="1"/>
  <c r="D177" i="13" s="1"/>
  <c r="D178" i="13" s="1"/>
  <c r="D179" i="13" s="1"/>
  <c r="D180" i="13" s="1"/>
  <c r="D181" i="13" s="1"/>
  <c r="D182" i="13" s="1"/>
  <c r="D183" i="13" s="1"/>
  <c r="D184" i="13" s="1"/>
  <c r="D185" i="13" s="1"/>
  <c r="D186" i="13" s="1"/>
  <c r="D187" i="13" s="1"/>
  <c r="D188" i="13" s="1"/>
  <c r="D189" i="13" s="1"/>
  <c r="D190" i="13" s="1"/>
  <c r="D191" i="13" s="1"/>
  <c r="D192" i="13" s="1"/>
  <c r="D193" i="13" s="1"/>
  <c r="D194" i="13" s="1"/>
  <c r="D195" i="13" s="1"/>
  <c r="D196" i="13" s="1"/>
  <c r="D197" i="13" s="1"/>
  <c r="D198" i="13" s="1"/>
  <c r="D199" i="13" s="1"/>
  <c r="D200" i="13" s="1"/>
  <c r="D201" i="13" s="1"/>
  <c r="D202" i="13" s="1"/>
  <c r="D203" i="13" s="1"/>
  <c r="D204" i="13" s="1"/>
  <c r="D205" i="13" s="1"/>
  <c r="D206" i="13" s="1"/>
  <c r="D207" i="13" s="1"/>
  <c r="D208" i="13" s="1"/>
  <c r="D209" i="13" s="1"/>
  <c r="D210" i="13" s="1"/>
  <c r="D211" i="13" s="1"/>
  <c r="D212" i="13" s="1"/>
  <c r="D213" i="13" s="1"/>
  <c r="D214" i="13" s="1"/>
  <c r="D215" i="13" s="1"/>
  <c r="D216" i="13" s="1"/>
  <c r="D217" i="13" s="1"/>
  <c r="D218" i="13" s="1"/>
  <c r="D219" i="13" s="1"/>
  <c r="D220" i="13" s="1"/>
  <c r="D221" i="13" s="1"/>
  <c r="D222" i="13" s="1"/>
  <c r="D223" i="13" s="1"/>
  <c r="D224" i="13" s="1"/>
  <c r="D225" i="13" s="1"/>
  <c r="D226" i="13" s="1"/>
  <c r="D227" i="13" s="1"/>
  <c r="D228" i="13" s="1"/>
  <c r="D229" i="13" s="1"/>
  <c r="D230" i="13" s="1"/>
  <c r="D231" i="13" s="1"/>
  <c r="D232" i="13" s="1"/>
  <c r="D233" i="13" s="1"/>
  <c r="D234" i="13" s="1"/>
  <c r="D235" i="13" s="1"/>
  <c r="D236" i="13" s="1"/>
  <c r="D237" i="13" s="1"/>
  <c r="D238" i="13" s="1"/>
  <c r="D239" i="13" s="1"/>
  <c r="D240" i="13" s="1"/>
  <c r="D241" i="13" s="1"/>
  <c r="D242" i="13" s="1"/>
  <c r="D243" i="13" s="1"/>
  <c r="D244" i="13" s="1"/>
  <c r="D245" i="13" s="1"/>
  <c r="D246" i="13" s="1"/>
  <c r="D247" i="13" s="1"/>
  <c r="D248" i="13" s="1"/>
  <c r="D249" i="13" s="1"/>
  <c r="D250" i="13" s="1"/>
  <c r="D251" i="13" s="1"/>
  <c r="D252" i="13" s="1"/>
  <c r="D253" i="13" s="1"/>
  <c r="D254" i="13" s="1"/>
  <c r="D255" i="13" s="1"/>
  <c r="D256" i="13" s="1"/>
  <c r="D257" i="13" s="1"/>
  <c r="D258" i="13" s="1"/>
  <c r="D259" i="13" s="1"/>
  <c r="D260" i="13" s="1"/>
  <c r="D261" i="13" s="1"/>
  <c r="D262" i="13" s="1"/>
  <c r="D263" i="13" s="1"/>
  <c r="D264" i="13" s="1"/>
  <c r="D265" i="13" s="1"/>
  <c r="D266" i="13" s="1"/>
  <c r="D267" i="13" s="1"/>
  <c r="D268" i="13" s="1"/>
  <c r="D269" i="13" s="1"/>
  <c r="D270" i="13" s="1"/>
  <c r="D271" i="13" s="1"/>
  <c r="D272" i="13" s="1"/>
  <c r="D273" i="13" s="1"/>
  <c r="D274" i="13" s="1"/>
  <c r="D275" i="13" s="1"/>
  <c r="D276" i="13" s="1"/>
  <c r="D277" i="13" s="1"/>
  <c r="D278" i="13" s="1"/>
  <c r="D279" i="13" s="1"/>
  <c r="D280" i="13" s="1"/>
  <c r="D281" i="13" s="1"/>
  <c r="D282" i="13" s="1"/>
  <c r="D283" i="13" s="1"/>
  <c r="D284" i="13" s="1"/>
  <c r="D285" i="13" s="1"/>
  <c r="D286" i="13" s="1"/>
  <c r="D287" i="13" s="1"/>
  <c r="D288" i="13" s="1"/>
  <c r="D289" i="13" s="1"/>
  <c r="D290" i="13" s="1"/>
  <c r="D291" i="13" s="1"/>
  <c r="D292" i="13" s="1"/>
  <c r="D293" i="13" s="1"/>
  <c r="D294" i="13" s="1"/>
  <c r="D295" i="13" s="1"/>
  <c r="D296" i="13" s="1"/>
  <c r="D297" i="13" s="1"/>
  <c r="D298" i="13" s="1"/>
  <c r="D299" i="13" s="1"/>
  <c r="D300" i="13" s="1"/>
  <c r="D301" i="13" s="1"/>
  <c r="D302" i="13" s="1"/>
  <c r="D303" i="13" s="1"/>
  <c r="D304" i="13" s="1"/>
  <c r="D305" i="13" s="1"/>
  <c r="D306" i="13" s="1"/>
  <c r="D307" i="13" s="1"/>
  <c r="D308" i="13" s="1"/>
  <c r="D309" i="13" s="1"/>
  <c r="D310" i="13" s="1"/>
  <c r="D311" i="13" s="1"/>
  <c r="D312" i="13" s="1"/>
  <c r="D313" i="13" s="1"/>
  <c r="D314" i="13" s="1"/>
  <c r="D315" i="13" s="1"/>
  <c r="D316" i="13" s="1"/>
  <c r="D317" i="13" s="1"/>
  <c r="D318" i="13" s="1"/>
  <c r="D319" i="13" s="1"/>
  <c r="D320" i="13" s="1"/>
  <c r="D321" i="13" s="1"/>
  <c r="D322" i="13" s="1"/>
  <c r="D323" i="13" s="1"/>
  <c r="D324" i="13" s="1"/>
  <c r="D325" i="13" s="1"/>
  <c r="D326" i="13" s="1"/>
  <c r="D327" i="13" s="1"/>
  <c r="D328" i="13" s="1"/>
  <c r="D329" i="13" s="1"/>
  <c r="D330" i="13" s="1"/>
  <c r="D331" i="13" s="1"/>
  <c r="D332" i="13" s="1"/>
  <c r="D333" i="13" s="1"/>
  <c r="D334" i="13" s="1"/>
  <c r="D335" i="13" s="1"/>
  <c r="D336" i="13" s="1"/>
  <c r="D337" i="13" s="1"/>
  <c r="D338" i="13" s="1"/>
  <c r="D339" i="13" s="1"/>
  <c r="D340" i="13" s="1"/>
  <c r="D341" i="13" s="1"/>
  <c r="D342" i="13" s="1"/>
  <c r="D343" i="13" s="1"/>
  <c r="D344" i="13" s="1"/>
  <c r="D345" i="13" s="1"/>
  <c r="D346" i="13" s="1"/>
  <c r="D347" i="13" s="1"/>
  <c r="D348" i="13" s="1"/>
  <c r="D349" i="13" s="1"/>
  <c r="D350" i="13" s="1"/>
  <c r="D351" i="13" s="1"/>
  <c r="D352" i="13" s="1"/>
  <c r="D353" i="13" s="1"/>
  <c r="D354" i="13" s="1"/>
  <c r="D355" i="13" s="1"/>
  <c r="D356" i="13" s="1"/>
  <c r="D357" i="13" s="1"/>
  <c r="D358" i="13" s="1"/>
  <c r="D359" i="13" s="1"/>
  <c r="D360" i="13" s="1"/>
  <c r="D361" i="13" s="1"/>
  <c r="D362" i="13" s="1"/>
  <c r="D363" i="13" s="1"/>
  <c r="D364" i="13" s="1"/>
  <c r="D365" i="13" s="1"/>
  <c r="D366" i="13" s="1"/>
  <c r="D367" i="13" s="1"/>
  <c r="D368" i="13" s="1"/>
  <c r="D369" i="13" s="1"/>
  <c r="D370" i="13" s="1"/>
  <c r="D371" i="13" s="1"/>
  <c r="D372" i="13" s="1"/>
  <c r="D373" i="13" s="1"/>
  <c r="D374" i="13" s="1"/>
  <c r="D375" i="13" s="1"/>
  <c r="D376" i="13" s="1"/>
  <c r="D377" i="13" s="1"/>
  <c r="D378" i="13" s="1"/>
  <c r="D379" i="13" s="1"/>
  <c r="D380" i="13" s="1"/>
  <c r="D381" i="13" s="1"/>
  <c r="D382" i="13" s="1"/>
  <c r="D383" i="13" s="1"/>
  <c r="D384" i="13" s="1"/>
  <c r="D385" i="13" s="1"/>
  <c r="D386" i="13" s="1"/>
  <c r="D387" i="13" s="1"/>
  <c r="D388" i="13" s="1"/>
  <c r="D389" i="13" s="1"/>
  <c r="D390" i="13" s="1"/>
  <c r="D391" i="13" s="1"/>
  <c r="D392" i="13" s="1"/>
  <c r="D393" i="13" s="1"/>
  <c r="D394" i="13" s="1"/>
  <c r="D395" i="13" s="1"/>
  <c r="D396" i="13" s="1"/>
  <c r="D397" i="13" s="1"/>
  <c r="D398" i="13" s="1"/>
  <c r="D399" i="13" s="1"/>
  <c r="D400" i="13" s="1"/>
  <c r="D401" i="13" s="1"/>
  <c r="D402" i="13" s="1"/>
  <c r="D403" i="13" s="1"/>
  <c r="D404" i="13" s="1"/>
  <c r="D405" i="13" s="1"/>
  <c r="D406" i="13" s="1"/>
  <c r="D407" i="13" s="1"/>
  <c r="D408" i="13" s="1"/>
  <c r="D409" i="13" s="1"/>
  <c r="D410" i="13" s="1"/>
  <c r="D411" i="13" s="1"/>
  <c r="D412" i="13" s="1"/>
  <c r="D413" i="13" s="1"/>
  <c r="D414" i="13" s="1"/>
  <c r="D415" i="13" s="1"/>
  <c r="D416" i="13" s="1"/>
  <c r="D417" i="13" s="1"/>
  <c r="D418" i="13" s="1"/>
  <c r="D419" i="13" s="1"/>
  <c r="D420" i="13" s="1"/>
  <c r="D421" i="13" s="1"/>
  <c r="D422" i="13" s="1"/>
  <c r="D423" i="13" s="1"/>
  <c r="D424" i="13" s="1"/>
  <c r="D425" i="13" s="1"/>
  <c r="D426" i="13" s="1"/>
  <c r="D427" i="13" s="1"/>
  <c r="D428" i="13" s="1"/>
  <c r="D429" i="13" s="1"/>
  <c r="D430" i="13" s="1"/>
  <c r="D431" i="13" s="1"/>
  <c r="D432" i="13" s="1"/>
  <c r="D433" i="13" s="1"/>
  <c r="D434" i="13" s="1"/>
  <c r="D435" i="13" s="1"/>
  <c r="D436" i="13" s="1"/>
  <c r="D437" i="13" s="1"/>
  <c r="D438" i="13" s="1"/>
  <c r="D439" i="13" s="1"/>
  <c r="D440" i="13" s="1"/>
  <c r="D441" i="13" s="1"/>
  <c r="D442" i="13" s="1"/>
  <c r="D443" i="13" s="1"/>
  <c r="D444" i="13" s="1"/>
  <c r="D445" i="13" s="1"/>
  <c r="D446" i="13" s="1"/>
  <c r="D447" i="13" s="1"/>
  <c r="D448" i="13" s="1"/>
  <c r="D449" i="13" s="1"/>
  <c r="D450" i="13" s="1"/>
  <c r="D451" i="13" s="1"/>
  <c r="D452" i="13" s="1"/>
  <c r="D453" i="13" s="1"/>
  <c r="D454" i="13" s="1"/>
  <c r="D455" i="13" s="1"/>
  <c r="D456" i="13" s="1"/>
  <c r="D457" i="13" s="1"/>
  <c r="D458" i="13" s="1"/>
  <c r="D459" i="13" s="1"/>
  <c r="D460" i="13" s="1"/>
  <c r="D461" i="13" s="1"/>
  <c r="D462" i="13" s="1"/>
  <c r="D463" i="13" s="1"/>
  <c r="D464" i="13" s="1"/>
  <c r="D465" i="13" s="1"/>
  <c r="D466" i="13" s="1"/>
  <c r="D467" i="13" s="1"/>
  <c r="D468" i="13" s="1"/>
  <c r="D469" i="13" s="1"/>
  <c r="D470" i="13" s="1"/>
  <c r="D471" i="13" s="1"/>
  <c r="D472" i="13" s="1"/>
  <c r="D473" i="13" s="1"/>
  <c r="D474" i="13" s="1"/>
  <c r="D475" i="13" s="1"/>
  <c r="D476" i="13" s="1"/>
  <c r="D477" i="13" s="1"/>
  <c r="D478" i="13" s="1"/>
  <c r="D479" i="13" s="1"/>
  <c r="D480" i="13" s="1"/>
  <c r="D481" i="13" s="1"/>
  <c r="D482" i="13" s="1"/>
  <c r="D483" i="13" s="1"/>
  <c r="D484" i="13" s="1"/>
  <c r="D485" i="13" s="1"/>
  <c r="D486" i="13" s="1"/>
  <c r="D487" i="13" s="1"/>
  <c r="D488" i="13" s="1"/>
  <c r="D489" i="13" s="1"/>
  <c r="D490" i="13" s="1"/>
  <c r="D491" i="13" s="1"/>
  <c r="D492" i="13" s="1"/>
  <c r="D493" i="13" s="1"/>
  <c r="D494" i="13" s="1"/>
  <c r="D495" i="13" s="1"/>
  <c r="D496" i="13" s="1"/>
  <c r="D497" i="13" s="1"/>
  <c r="D498" i="13" s="1"/>
  <c r="D499" i="13" s="1"/>
  <c r="D500" i="13" s="1"/>
  <c r="D501" i="13" s="1"/>
  <c r="D502" i="13" s="1"/>
  <c r="D503" i="13" s="1"/>
  <c r="D504" i="13" s="1"/>
  <c r="D505" i="13" s="1"/>
  <c r="D506" i="13" s="1"/>
  <c r="D507" i="13" s="1"/>
  <c r="D508" i="13" s="1"/>
  <c r="D509" i="13" s="1"/>
  <c r="D510" i="13" s="1"/>
  <c r="D511" i="13" s="1"/>
  <c r="D512" i="13" s="1"/>
  <c r="D513" i="13" s="1"/>
  <c r="D514" i="13" s="1"/>
  <c r="D515" i="13" s="1"/>
  <c r="D516" i="13" s="1"/>
  <c r="D517" i="13" s="1"/>
  <c r="D518" i="13" s="1"/>
  <c r="D519" i="13" s="1"/>
  <c r="D520" i="13" s="1"/>
  <c r="D521" i="13" s="1"/>
  <c r="D522" i="13" s="1"/>
  <c r="D523" i="13" s="1"/>
  <c r="D524" i="13" s="1"/>
  <c r="D525" i="13" s="1"/>
  <c r="D526" i="13" s="1"/>
  <c r="D527" i="13" s="1"/>
  <c r="D528" i="13" s="1"/>
  <c r="D529" i="13" s="1"/>
  <c r="D530" i="13" s="1"/>
  <c r="D531" i="13" s="1"/>
  <c r="D532" i="13" s="1"/>
  <c r="D533" i="13" s="1"/>
  <c r="D534" i="13" s="1"/>
  <c r="D535" i="13" s="1"/>
  <c r="D536" i="13" s="1"/>
  <c r="D537" i="13" s="1"/>
  <c r="D538" i="13" s="1"/>
  <c r="D539" i="13" s="1"/>
  <c r="D540" i="13" s="1"/>
  <c r="D541" i="13" s="1"/>
  <c r="D542" i="13" s="1"/>
  <c r="D543" i="13" s="1"/>
  <c r="D544" i="13" s="1"/>
  <c r="D545" i="13" s="1"/>
  <c r="D546" i="13" s="1"/>
  <c r="D547" i="13" s="1"/>
  <c r="D548" i="13" s="1"/>
  <c r="D549" i="13" s="1"/>
  <c r="D550" i="13" s="1"/>
  <c r="D551" i="13" s="1"/>
  <c r="D552" i="13" s="1"/>
  <c r="D553" i="13" s="1"/>
  <c r="D554" i="13" s="1"/>
  <c r="D555" i="13" s="1"/>
  <c r="D556" i="13" s="1"/>
  <c r="D557" i="13" s="1"/>
  <c r="D558" i="13" s="1"/>
  <c r="D559" i="13" s="1"/>
  <c r="D560" i="13" s="1"/>
  <c r="D561" i="13" s="1"/>
  <c r="D562" i="13" s="1"/>
  <c r="D563" i="13" s="1"/>
  <c r="D564" i="13" s="1"/>
  <c r="D565" i="13" s="1"/>
  <c r="D566" i="13" s="1"/>
  <c r="D567" i="13" s="1"/>
  <c r="D568" i="13" s="1"/>
  <c r="D569" i="13" s="1"/>
  <c r="D570" i="13" s="1"/>
  <c r="D571" i="13" s="1"/>
  <c r="D572" i="13" s="1"/>
  <c r="D573" i="13" s="1"/>
  <c r="D574" i="13" s="1"/>
  <c r="D575" i="13" s="1"/>
  <c r="D576" i="13" s="1"/>
  <c r="D577" i="13" s="1"/>
  <c r="D578" i="13" s="1"/>
  <c r="D579" i="13" s="1"/>
  <c r="D580" i="13" s="1"/>
  <c r="D581" i="13" s="1"/>
  <c r="D582" i="13" s="1"/>
  <c r="D583" i="13" s="1"/>
  <c r="D584" i="13" s="1"/>
  <c r="D585" i="13" s="1"/>
  <c r="D586" i="13" s="1"/>
  <c r="D587" i="13" s="1"/>
  <c r="D588" i="13" s="1"/>
  <c r="D589" i="13" s="1"/>
  <c r="D590" i="13" s="1"/>
  <c r="D591" i="13" s="1"/>
  <c r="D592" i="13" s="1"/>
  <c r="D593" i="13" s="1"/>
  <c r="D594" i="13" s="1"/>
  <c r="D595" i="13" s="1"/>
  <c r="D596" i="13" s="1"/>
  <c r="D597" i="13" s="1"/>
  <c r="D598" i="13" s="1"/>
  <c r="D599" i="13" s="1"/>
  <c r="D600" i="13" s="1"/>
  <c r="D601" i="13" s="1"/>
  <c r="D602" i="13" s="1"/>
  <c r="D603" i="13" s="1"/>
  <c r="D604" i="13" s="1"/>
  <c r="D605" i="13" s="1"/>
  <c r="D606" i="13" s="1"/>
  <c r="D607" i="13" s="1"/>
  <c r="D608" i="13" s="1"/>
  <c r="D609" i="13" s="1"/>
  <c r="D610" i="13" s="1"/>
  <c r="D611" i="13" s="1"/>
  <c r="D612" i="13" s="1"/>
  <c r="D613" i="13" s="1"/>
  <c r="D614" i="13" s="1"/>
  <c r="D615" i="13" s="1"/>
  <c r="D616" i="13" s="1"/>
  <c r="D617" i="13" s="1"/>
  <c r="D618" i="13" s="1"/>
  <c r="D619" i="13" s="1"/>
  <c r="D620" i="13" s="1"/>
  <c r="D621" i="13" s="1"/>
  <c r="D622" i="13" s="1"/>
  <c r="D623" i="13" s="1"/>
  <c r="D624" i="13" s="1"/>
  <c r="D625" i="13" s="1"/>
  <c r="D626" i="13" s="1"/>
  <c r="D627" i="13" s="1"/>
  <c r="D628" i="13" s="1"/>
  <c r="D629" i="13" s="1"/>
  <c r="D630" i="13" s="1"/>
  <c r="D631" i="13" s="1"/>
  <c r="D632" i="13" s="1"/>
  <c r="D633" i="13" s="1"/>
  <c r="D634" i="13" s="1"/>
  <c r="D635" i="13" s="1"/>
  <c r="D636" i="13" s="1"/>
  <c r="D637" i="13" s="1"/>
  <c r="D638" i="13" s="1"/>
  <c r="D639" i="13" s="1"/>
  <c r="D640" i="13" s="1"/>
  <c r="D641" i="13" s="1"/>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L410" i="13"/>
  <c r="L411" i="13"/>
  <c r="L412" i="13"/>
  <c r="L413" i="13"/>
  <c r="L414" i="13"/>
  <c r="L415" i="13"/>
  <c r="L416" i="13"/>
  <c r="L417" i="13"/>
  <c r="L418" i="13"/>
  <c r="L419" i="13"/>
  <c r="L420" i="13"/>
  <c r="L421" i="13"/>
  <c r="L422" i="13"/>
  <c r="L423" i="13"/>
  <c r="L424" i="13"/>
  <c r="L425" i="13"/>
  <c r="L426" i="13"/>
  <c r="L427" i="13"/>
  <c r="L428" i="13"/>
  <c r="L429" i="13"/>
  <c r="L430" i="13"/>
  <c r="L431" i="13"/>
  <c r="L432" i="13"/>
  <c r="L433" i="13"/>
  <c r="L434" i="13"/>
  <c r="L435" i="13"/>
  <c r="L436" i="13"/>
  <c r="L437" i="13"/>
  <c r="L438" i="13"/>
  <c r="L439" i="13"/>
  <c r="L440" i="13"/>
  <c r="L441" i="13"/>
  <c r="L442" i="13"/>
  <c r="L443" i="13"/>
  <c r="L444" i="13"/>
  <c r="L445" i="13"/>
  <c r="L446" i="13"/>
  <c r="L447" i="13"/>
  <c r="L448" i="13"/>
  <c r="L449" i="13"/>
  <c r="L450" i="13"/>
  <c r="L451" i="13"/>
  <c r="L452" i="13"/>
  <c r="L453" i="13"/>
  <c r="L454" i="13"/>
  <c r="L455" i="13"/>
  <c r="L456" i="13"/>
  <c r="L457" i="13"/>
  <c r="L458" i="13"/>
  <c r="L459" i="13"/>
  <c r="L460" i="13"/>
  <c r="L461" i="13"/>
  <c r="L462" i="13"/>
  <c r="L463" i="13"/>
  <c r="L464" i="13"/>
  <c r="L465" i="13"/>
  <c r="L466" i="13"/>
  <c r="L467" i="13"/>
  <c r="L468" i="13"/>
  <c r="L469" i="13"/>
  <c r="L470" i="13"/>
  <c r="L471" i="13"/>
  <c r="L472" i="13"/>
  <c r="L473" i="13"/>
  <c r="L474" i="13"/>
  <c r="L475" i="13"/>
  <c r="L476" i="13"/>
  <c r="L477" i="13"/>
  <c r="L478" i="13"/>
  <c r="L479" i="13"/>
  <c r="L480" i="13"/>
  <c r="L481" i="13"/>
  <c r="L482" i="13"/>
  <c r="L483" i="13"/>
  <c r="L484" i="13"/>
  <c r="L485" i="13"/>
  <c r="L486" i="13"/>
  <c r="L487" i="13"/>
  <c r="L488" i="13"/>
  <c r="L489" i="13"/>
  <c r="L490" i="13"/>
  <c r="L491" i="13"/>
  <c r="L492" i="13"/>
  <c r="L493" i="13"/>
  <c r="L494" i="13"/>
  <c r="L495" i="13"/>
  <c r="L496" i="13"/>
  <c r="L497" i="13"/>
  <c r="L498" i="13"/>
  <c r="L499" i="13"/>
  <c r="L500" i="13"/>
  <c r="L501" i="13"/>
  <c r="L502" i="13"/>
  <c r="L503" i="13"/>
  <c r="L504" i="13"/>
  <c r="L505" i="13"/>
  <c r="L506" i="13"/>
  <c r="L507" i="13"/>
  <c r="L508" i="13"/>
  <c r="L509" i="13"/>
  <c r="L510" i="13"/>
  <c r="L511" i="13"/>
  <c r="L512" i="13"/>
  <c r="L513" i="13"/>
  <c r="L514" i="13"/>
  <c r="L515" i="13"/>
  <c r="L516" i="13"/>
  <c r="L517" i="13"/>
  <c r="L518" i="13"/>
  <c r="L519" i="13"/>
  <c r="L520" i="13"/>
  <c r="L521" i="13"/>
  <c r="L522" i="13"/>
  <c r="L523" i="13"/>
  <c r="L524" i="13"/>
  <c r="L525" i="13"/>
  <c r="L526" i="13"/>
  <c r="L527" i="13"/>
  <c r="L528" i="13"/>
  <c r="L529" i="13"/>
  <c r="L530" i="13"/>
  <c r="L531" i="13"/>
  <c r="L532" i="13"/>
  <c r="L533" i="13"/>
  <c r="L534" i="13"/>
  <c r="L535" i="13"/>
  <c r="L536" i="13"/>
  <c r="L537" i="13"/>
  <c r="L538" i="13"/>
  <c r="L539" i="13"/>
  <c r="L540" i="13"/>
  <c r="L541" i="13"/>
  <c r="L542" i="13"/>
  <c r="L543" i="13"/>
  <c r="L544" i="13"/>
  <c r="L545" i="13"/>
  <c r="L546" i="13"/>
  <c r="L547" i="13"/>
  <c r="L548" i="13"/>
  <c r="L549" i="13"/>
  <c r="L550" i="13"/>
  <c r="L551" i="13"/>
  <c r="L552" i="13"/>
  <c r="L553" i="13"/>
  <c r="L554" i="13"/>
  <c r="L555" i="13"/>
  <c r="L556" i="13"/>
  <c r="L557" i="13"/>
  <c r="L558" i="13"/>
  <c r="L559" i="13"/>
  <c r="L560" i="13"/>
  <c r="L561" i="13"/>
  <c r="L562" i="13"/>
  <c r="L563" i="13"/>
  <c r="L564" i="13"/>
  <c r="L565" i="13"/>
  <c r="L566" i="13"/>
  <c r="L567" i="13"/>
  <c r="L568" i="13"/>
  <c r="L569" i="13"/>
  <c r="L570" i="13"/>
  <c r="L571" i="13"/>
  <c r="L572" i="13"/>
  <c r="L573" i="13"/>
  <c r="L574" i="13"/>
  <c r="L575" i="13"/>
  <c r="L576" i="13"/>
  <c r="L577" i="13"/>
  <c r="L578" i="13"/>
  <c r="L579" i="13"/>
  <c r="L580" i="13"/>
  <c r="L581" i="13"/>
  <c r="L582" i="13"/>
  <c r="L583" i="13"/>
  <c r="L584" i="13"/>
  <c r="L585" i="13"/>
  <c r="L586" i="13"/>
  <c r="L587" i="13"/>
  <c r="L588" i="13"/>
  <c r="L589" i="13"/>
  <c r="L590" i="13"/>
  <c r="L591" i="13"/>
  <c r="L592" i="13"/>
  <c r="L593" i="13"/>
  <c r="L594" i="13"/>
  <c r="L595" i="13"/>
  <c r="L596" i="13"/>
  <c r="L597" i="13"/>
  <c r="L598" i="13"/>
  <c r="L599" i="13"/>
  <c r="L600" i="13"/>
  <c r="L601" i="13"/>
  <c r="L602" i="13"/>
  <c r="L603" i="13"/>
  <c r="L604" i="13"/>
  <c r="L605" i="13"/>
  <c r="L606" i="13"/>
  <c r="L607" i="13"/>
  <c r="L608" i="13"/>
  <c r="L609" i="13"/>
  <c r="L610" i="13"/>
  <c r="L611" i="13"/>
  <c r="L612" i="13"/>
  <c r="L613" i="13"/>
  <c r="L614" i="13"/>
  <c r="L615" i="13"/>
  <c r="L616" i="13"/>
  <c r="L617" i="13"/>
  <c r="L618" i="13"/>
  <c r="L619" i="13"/>
  <c r="L620" i="13"/>
  <c r="L621" i="13"/>
  <c r="L622" i="13"/>
  <c r="L623" i="13"/>
  <c r="L624" i="13"/>
  <c r="L625" i="13"/>
  <c r="L626" i="13"/>
  <c r="L627" i="13"/>
  <c r="L628" i="13"/>
  <c r="L629" i="13"/>
  <c r="L630" i="13"/>
  <c r="L631" i="13"/>
  <c r="L632" i="13"/>
  <c r="L633" i="13"/>
  <c r="L634" i="13"/>
  <c r="L635" i="13"/>
  <c r="L636" i="13"/>
  <c r="L637" i="13"/>
  <c r="L638" i="13"/>
  <c r="L639" i="13"/>
  <c r="L640" i="13"/>
  <c r="L641" i="13"/>
  <c r="M5" i="13"/>
  <c r="M6" i="13"/>
  <c r="M7" i="13"/>
  <c r="M9" i="13"/>
  <c r="M10" i="13"/>
  <c r="M11" i="13"/>
  <c r="M13" i="13"/>
  <c r="M14" i="13"/>
  <c r="M15" i="13"/>
  <c r="M17" i="13"/>
  <c r="M18" i="13"/>
  <c r="M19" i="13"/>
  <c r="M21" i="13"/>
  <c r="M22" i="13"/>
  <c r="M23" i="13"/>
  <c r="M25" i="13"/>
  <c r="M26" i="13"/>
  <c r="M27" i="13"/>
  <c r="M29" i="13"/>
  <c r="M30" i="13"/>
  <c r="M31" i="13"/>
  <c r="M33" i="13"/>
  <c r="M34" i="13"/>
  <c r="M35" i="13"/>
  <c r="M37" i="13"/>
  <c r="M38" i="13"/>
  <c r="M39" i="13"/>
  <c r="M41" i="13"/>
  <c r="M42" i="13"/>
  <c r="M43" i="13"/>
  <c r="M45" i="13"/>
  <c r="M46" i="13"/>
  <c r="M47" i="13"/>
  <c r="M49" i="13"/>
  <c r="M50" i="13"/>
  <c r="M51" i="13"/>
  <c r="M53" i="13"/>
  <c r="M54" i="13"/>
  <c r="M55" i="13"/>
  <c r="M57" i="13"/>
  <c r="M58" i="13"/>
  <c r="M59" i="13"/>
  <c r="M61" i="13"/>
  <c r="M62" i="13"/>
  <c r="M63" i="13"/>
  <c r="M65" i="13"/>
  <c r="M66" i="13"/>
  <c r="M67" i="13"/>
  <c r="M69" i="13"/>
  <c r="M70" i="13"/>
  <c r="M71" i="13"/>
  <c r="M73" i="13"/>
  <c r="M74" i="13"/>
  <c r="M75" i="13"/>
  <c r="M77" i="13"/>
  <c r="M78" i="13"/>
  <c r="M79" i="13"/>
  <c r="M81" i="13"/>
  <c r="M82" i="13"/>
  <c r="M83" i="13"/>
  <c r="M85" i="13"/>
  <c r="M86" i="13"/>
  <c r="M87" i="13"/>
  <c r="M89" i="13"/>
  <c r="M90" i="13"/>
  <c r="M91" i="13"/>
  <c r="M93" i="13"/>
  <c r="M94" i="13"/>
  <c r="M95" i="13"/>
  <c r="M97" i="13"/>
  <c r="M98" i="13"/>
  <c r="M99" i="13"/>
  <c r="M101" i="13"/>
  <c r="M102" i="13"/>
  <c r="M103" i="13"/>
  <c r="M105" i="13"/>
  <c r="M106" i="13"/>
  <c r="M107" i="13"/>
  <c r="M109" i="13"/>
  <c r="M110" i="13"/>
  <c r="M111" i="13"/>
  <c r="M113" i="13"/>
  <c r="M114" i="13"/>
  <c r="M115" i="13"/>
  <c r="M117" i="13"/>
  <c r="M118" i="13"/>
  <c r="M119" i="13"/>
  <c r="M121" i="13"/>
  <c r="M122" i="13"/>
  <c r="M123" i="13"/>
  <c r="M125" i="13"/>
  <c r="M126" i="13"/>
  <c r="M127" i="13"/>
  <c r="M129" i="13"/>
  <c r="M130" i="13"/>
  <c r="M131" i="13"/>
  <c r="M133" i="13"/>
  <c r="M134" i="13"/>
  <c r="M135" i="13"/>
  <c r="M137" i="13"/>
  <c r="M138" i="13"/>
  <c r="M139" i="13"/>
  <c r="M141" i="13"/>
  <c r="M142" i="13"/>
  <c r="M143" i="13"/>
  <c r="M145" i="13"/>
  <c r="M146" i="13"/>
  <c r="M147" i="13"/>
  <c r="M149" i="13"/>
  <c r="M150" i="13"/>
  <c r="M151" i="13"/>
  <c r="M153" i="13"/>
  <c r="M154" i="13"/>
  <c r="M155" i="13"/>
  <c r="M157" i="13"/>
  <c r="M158" i="13"/>
  <c r="M159" i="13"/>
  <c r="M161" i="13"/>
  <c r="M162" i="13"/>
  <c r="M163" i="13"/>
  <c r="M165" i="13"/>
  <c r="M166" i="13"/>
  <c r="M167" i="13"/>
  <c r="M169" i="13"/>
  <c r="M170" i="13"/>
  <c r="M171" i="13"/>
  <c r="M173" i="13"/>
  <c r="M174" i="13"/>
  <c r="M175" i="13"/>
  <c r="M177" i="13"/>
  <c r="M178" i="13"/>
  <c r="M179" i="13"/>
  <c r="M181" i="13"/>
  <c r="M182" i="13"/>
  <c r="M183" i="13"/>
  <c r="M185" i="13"/>
  <c r="M186" i="13"/>
  <c r="M187" i="13"/>
  <c r="M189" i="13"/>
  <c r="M190" i="13"/>
  <c r="M191" i="13"/>
  <c r="M193" i="13"/>
  <c r="M194" i="13"/>
  <c r="M195" i="13"/>
  <c r="M197" i="13"/>
  <c r="M198" i="13"/>
  <c r="M199" i="13"/>
  <c r="M201" i="13"/>
  <c r="M202" i="13"/>
  <c r="M203" i="13"/>
  <c r="M205" i="13"/>
  <c r="M206" i="13"/>
  <c r="M207" i="13"/>
  <c r="M209" i="13"/>
  <c r="M210" i="13"/>
  <c r="M211" i="13"/>
  <c r="M213" i="13"/>
  <c r="M214" i="13"/>
  <c r="M215" i="13"/>
  <c r="M217" i="13"/>
  <c r="M218" i="13"/>
  <c r="M219" i="13"/>
  <c r="M221" i="13"/>
  <c r="M222" i="13"/>
  <c r="M223" i="13"/>
  <c r="M225" i="13"/>
  <c r="M226" i="13"/>
  <c r="M227" i="13"/>
  <c r="M229" i="13"/>
  <c r="M230" i="13"/>
  <c r="M231" i="13"/>
  <c r="M233" i="13"/>
  <c r="M234" i="13"/>
  <c r="M235" i="13"/>
  <c r="M237" i="13"/>
  <c r="M238" i="13"/>
  <c r="M239" i="13"/>
  <c r="M241" i="13"/>
  <c r="M242" i="13"/>
  <c r="M243" i="13"/>
  <c r="M245" i="13"/>
  <c r="M246" i="13"/>
  <c r="M247" i="13"/>
  <c r="M249" i="13"/>
  <c r="M250" i="13"/>
  <c r="M251" i="13"/>
  <c r="M253" i="13"/>
  <c r="M254" i="13"/>
  <c r="M255" i="13"/>
  <c r="M257" i="13"/>
  <c r="M258" i="13"/>
  <c r="M259" i="13"/>
  <c r="M261" i="13"/>
  <c r="M262" i="13"/>
  <c r="M263" i="13"/>
  <c r="M265" i="13"/>
  <c r="M266" i="13"/>
  <c r="M267" i="13"/>
  <c r="M269" i="13"/>
  <c r="M270" i="13"/>
  <c r="M271" i="13"/>
  <c r="M273" i="13"/>
  <c r="M274" i="13"/>
  <c r="M275" i="13"/>
  <c r="M277" i="13"/>
  <c r="M278" i="13"/>
  <c r="M279" i="13"/>
  <c r="M281" i="13"/>
  <c r="M282" i="13"/>
  <c r="M283" i="13"/>
  <c r="M285" i="13"/>
  <c r="M286" i="13"/>
  <c r="M287" i="13"/>
  <c r="M289" i="13"/>
  <c r="M290" i="13"/>
  <c r="M291" i="13"/>
  <c r="M293" i="13"/>
  <c r="M294" i="13"/>
  <c r="M295" i="13"/>
  <c r="M297" i="13"/>
  <c r="M298" i="13"/>
  <c r="M299" i="13"/>
  <c r="M301" i="13"/>
  <c r="M302" i="13"/>
  <c r="M303" i="13"/>
  <c r="M305" i="13"/>
  <c r="M306" i="13"/>
  <c r="M307" i="13"/>
  <c r="M309" i="13"/>
  <c r="M310" i="13"/>
  <c r="M311" i="13"/>
  <c r="M313" i="13"/>
  <c r="M314" i="13"/>
  <c r="M315" i="13"/>
  <c r="M317" i="13"/>
  <c r="M318" i="13"/>
  <c r="M319" i="13"/>
  <c r="M321" i="13"/>
  <c r="M322" i="13"/>
  <c r="M323" i="13"/>
  <c r="M325" i="13"/>
  <c r="M326" i="13"/>
  <c r="M327" i="13"/>
  <c r="M329" i="13"/>
  <c r="M330" i="13"/>
  <c r="M331" i="13"/>
  <c r="M333" i="13"/>
  <c r="M334" i="13"/>
  <c r="M335" i="13"/>
  <c r="M337" i="13"/>
  <c r="M338" i="13"/>
  <c r="M339" i="13"/>
  <c r="M340" i="13"/>
  <c r="M341" i="13"/>
  <c r="M343" i="13"/>
  <c r="M344" i="13"/>
  <c r="M345" i="13"/>
  <c r="M346" i="13"/>
  <c r="M347" i="13"/>
  <c r="M349" i="13"/>
  <c r="M350" i="13"/>
  <c r="M351" i="13"/>
  <c r="M352" i="13"/>
  <c r="M353" i="13"/>
  <c r="M355" i="13"/>
  <c r="M356" i="13"/>
  <c r="M357" i="13"/>
  <c r="M358" i="13"/>
  <c r="M359" i="13"/>
  <c r="M361" i="13"/>
  <c r="M362" i="13"/>
  <c r="M363" i="13"/>
  <c r="M364" i="13"/>
  <c r="M365" i="13"/>
  <c r="M367" i="13"/>
  <c r="M368" i="13"/>
  <c r="M369" i="13"/>
  <c r="M370" i="13"/>
  <c r="M371" i="13"/>
  <c r="M373" i="13"/>
  <c r="M374" i="13"/>
  <c r="M375" i="13"/>
  <c r="M376" i="13"/>
  <c r="M377" i="13"/>
  <c r="M379" i="13"/>
  <c r="M380" i="13"/>
  <c r="M381" i="13"/>
  <c r="M382" i="13"/>
  <c r="M383" i="13"/>
  <c r="M385" i="13"/>
  <c r="M386" i="13"/>
  <c r="M387" i="13"/>
  <c r="M388" i="13"/>
  <c r="M389" i="13"/>
  <c r="M391" i="13"/>
  <c r="M392" i="13"/>
  <c r="M393" i="13"/>
  <c r="M394" i="13"/>
  <c r="M395" i="13"/>
  <c r="M397" i="13"/>
  <c r="M398" i="13"/>
  <c r="M399" i="13"/>
  <c r="M400" i="13"/>
  <c r="M401" i="13"/>
  <c r="M403" i="13"/>
  <c r="M404" i="13"/>
  <c r="M405" i="13"/>
  <c r="M406" i="13"/>
  <c r="M407" i="13"/>
  <c r="M409" i="13"/>
  <c r="M410" i="13"/>
  <c r="M411" i="13"/>
  <c r="M412" i="13"/>
  <c r="M413" i="13"/>
  <c r="M415" i="13"/>
  <c r="M416" i="13"/>
  <c r="M417" i="13"/>
  <c r="M418" i="13"/>
  <c r="M419" i="13"/>
  <c r="M421" i="13"/>
  <c r="M422" i="13"/>
  <c r="M423" i="13"/>
  <c r="M424" i="13"/>
  <c r="M425" i="13"/>
  <c r="M427" i="13"/>
  <c r="M428" i="13"/>
  <c r="M429" i="13"/>
  <c r="M430" i="13"/>
  <c r="M431" i="13"/>
  <c r="M433" i="13"/>
  <c r="M434" i="13"/>
  <c r="M435" i="13"/>
  <c r="M436" i="13"/>
  <c r="M437" i="13"/>
  <c r="M439" i="13"/>
  <c r="M440" i="13"/>
  <c r="M441" i="13"/>
  <c r="M442" i="13"/>
  <c r="M443" i="13"/>
  <c r="M445" i="13"/>
  <c r="M446" i="13"/>
  <c r="M447" i="13"/>
  <c r="M448" i="13"/>
  <c r="M449" i="13"/>
  <c r="M451" i="13"/>
  <c r="M452" i="13"/>
  <c r="M453" i="13"/>
  <c r="M454" i="13"/>
  <c r="M455" i="13"/>
  <c r="M457" i="13"/>
  <c r="M458" i="13"/>
  <c r="M459" i="13"/>
  <c r="M460" i="13"/>
  <c r="M461" i="13"/>
  <c r="M463" i="13"/>
  <c r="M464" i="13"/>
  <c r="M465" i="13"/>
  <c r="M466" i="13"/>
  <c r="M467" i="13"/>
  <c r="M469" i="13"/>
  <c r="M470" i="13"/>
  <c r="M471" i="13"/>
  <c r="M472" i="13"/>
  <c r="M473" i="13"/>
  <c r="M475" i="13"/>
  <c r="M476" i="13"/>
  <c r="M477" i="13"/>
  <c r="M478" i="13"/>
  <c r="M479" i="13"/>
  <c r="M481" i="13"/>
  <c r="M482" i="13"/>
  <c r="M483" i="13"/>
  <c r="M484" i="13"/>
  <c r="M485" i="13"/>
  <c r="M487" i="13"/>
  <c r="M488" i="13"/>
  <c r="M489" i="13"/>
  <c r="M490" i="13"/>
  <c r="M491" i="13"/>
  <c r="M493" i="13"/>
  <c r="M494" i="13"/>
  <c r="M495" i="13"/>
  <c r="M496" i="13"/>
  <c r="M497" i="13"/>
  <c r="M499" i="13"/>
  <c r="M500" i="13"/>
  <c r="M501" i="13"/>
  <c r="M502" i="13"/>
  <c r="M503" i="13"/>
  <c r="M505" i="13"/>
  <c r="M506" i="13"/>
  <c r="M507" i="13"/>
  <c r="M508" i="13"/>
  <c r="M509" i="13"/>
  <c r="M511" i="13"/>
  <c r="M512" i="13"/>
  <c r="M513" i="13"/>
  <c r="M514" i="13"/>
  <c r="M515" i="13"/>
  <c r="M517" i="13"/>
  <c r="M518" i="13"/>
  <c r="M519" i="13"/>
  <c r="M520" i="13"/>
  <c r="M521" i="13"/>
  <c r="M523" i="13"/>
  <c r="M524" i="13"/>
  <c r="M525" i="13"/>
  <c r="M526" i="13"/>
  <c r="M527" i="13"/>
  <c r="M529" i="13"/>
  <c r="M530" i="13"/>
  <c r="M531" i="13"/>
  <c r="M532" i="13"/>
  <c r="M533" i="13"/>
  <c r="M535" i="13"/>
  <c r="M536" i="13"/>
  <c r="M537" i="13"/>
  <c r="M538" i="13"/>
  <c r="M539" i="13"/>
  <c r="M541" i="13"/>
  <c r="M542" i="13"/>
  <c r="M543" i="13"/>
  <c r="M544" i="13"/>
  <c r="M545" i="13"/>
  <c r="M547" i="13"/>
  <c r="M548" i="13"/>
  <c r="M549" i="13"/>
  <c r="M550" i="13"/>
  <c r="M551" i="13"/>
  <c r="M553" i="13"/>
  <c r="M554" i="13"/>
  <c r="M555" i="13"/>
  <c r="M556" i="13"/>
  <c r="M557" i="13"/>
  <c r="M559" i="13"/>
  <c r="M560" i="13"/>
  <c r="M561" i="13"/>
  <c r="M562" i="13"/>
  <c r="M563" i="13"/>
  <c r="M565" i="13"/>
  <c r="M566" i="13"/>
  <c r="M567" i="13"/>
  <c r="M568" i="13"/>
  <c r="M569" i="13"/>
  <c r="M571" i="13"/>
  <c r="M572" i="13"/>
  <c r="M573" i="13"/>
  <c r="M574" i="13"/>
  <c r="M575" i="13"/>
  <c r="M577" i="13"/>
  <c r="M578" i="13"/>
  <c r="M579" i="13"/>
  <c r="M580" i="13"/>
  <c r="M581" i="13"/>
  <c r="M583" i="13"/>
  <c r="M584" i="13"/>
  <c r="M585" i="13"/>
  <c r="M586" i="13"/>
  <c r="M587" i="13"/>
  <c r="M589" i="13"/>
  <c r="M590" i="13"/>
  <c r="M592" i="13"/>
  <c r="M593" i="13"/>
  <c r="M595" i="13"/>
  <c r="M596" i="13"/>
  <c r="M598" i="13"/>
  <c r="M599" i="13"/>
  <c r="M601" i="13"/>
  <c r="M602" i="13"/>
  <c r="M604" i="13"/>
  <c r="M605" i="13"/>
  <c r="M607" i="13"/>
  <c r="M608" i="13"/>
  <c r="M610" i="13"/>
  <c r="M611" i="13"/>
  <c r="M613" i="13"/>
  <c r="M614" i="13"/>
  <c r="M616" i="13"/>
  <c r="M617" i="13"/>
  <c r="M619" i="13"/>
  <c r="M620" i="13"/>
  <c r="M622" i="13"/>
  <c r="M623" i="13"/>
  <c r="M625" i="13"/>
  <c r="M626" i="13"/>
  <c r="M628" i="13"/>
  <c r="M629" i="13"/>
  <c r="M631" i="13"/>
  <c r="M632" i="13"/>
  <c r="M634" i="13"/>
  <c r="M635" i="13"/>
  <c r="M637" i="13"/>
  <c r="M638" i="13"/>
  <c r="M640" i="13"/>
  <c r="M641"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O294" i="13"/>
  <c r="O295" i="13"/>
  <c r="O296" i="13"/>
  <c r="O297" i="13"/>
  <c r="O298" i="13"/>
  <c r="O299" i="13"/>
  <c r="O300" i="13"/>
  <c r="O301" i="13"/>
  <c r="O302" i="13"/>
  <c r="O303" i="13"/>
  <c r="O304" i="13"/>
  <c r="O305" i="13"/>
  <c r="O306" i="13"/>
  <c r="O307" i="13"/>
  <c r="O308" i="13"/>
  <c r="O309" i="13"/>
  <c r="O310" i="13"/>
  <c r="O311" i="13"/>
  <c r="O312" i="13"/>
  <c r="O313" i="13"/>
  <c r="O314" i="13"/>
  <c r="O315" i="13"/>
  <c r="O316" i="13"/>
  <c r="O317" i="13"/>
  <c r="O318" i="13"/>
  <c r="O319" i="13"/>
  <c r="O320" i="13"/>
  <c r="O321" i="13"/>
  <c r="O322" i="13"/>
  <c r="O323" i="13"/>
  <c r="O324" i="13"/>
  <c r="O325" i="13"/>
  <c r="O326" i="13"/>
  <c r="O327" i="13"/>
  <c r="O328" i="13"/>
  <c r="O329" i="13"/>
  <c r="O330" i="13"/>
  <c r="O331" i="13"/>
  <c r="O332" i="13"/>
  <c r="O333" i="13"/>
  <c r="O334" i="13"/>
  <c r="O335" i="13"/>
  <c r="O336" i="13"/>
  <c r="O337" i="13"/>
  <c r="O338" i="13"/>
  <c r="O339" i="13"/>
  <c r="O340" i="13"/>
  <c r="O341" i="13"/>
  <c r="O342" i="13"/>
  <c r="O343" i="13"/>
  <c r="O344" i="13"/>
  <c r="O345" i="13"/>
  <c r="O346" i="13"/>
  <c r="O347" i="13"/>
  <c r="O348" i="13"/>
  <c r="O349" i="13"/>
  <c r="O350" i="13"/>
  <c r="O351" i="13"/>
  <c r="O352" i="13"/>
  <c r="O353" i="13"/>
  <c r="O354" i="13"/>
  <c r="O355" i="13"/>
  <c r="O356" i="13"/>
  <c r="O357" i="13"/>
  <c r="O358" i="13"/>
  <c r="O359" i="13"/>
  <c r="O360" i="13"/>
  <c r="O361" i="13"/>
  <c r="O362" i="13"/>
  <c r="O363" i="13"/>
  <c r="O364" i="13"/>
  <c r="O365" i="13"/>
  <c r="O366" i="13"/>
  <c r="O367" i="13"/>
  <c r="O368" i="13"/>
  <c r="O369" i="13"/>
  <c r="O370" i="13"/>
  <c r="O371" i="13"/>
  <c r="O372" i="13"/>
  <c r="O373" i="13"/>
  <c r="O374" i="13"/>
  <c r="O375" i="13"/>
  <c r="O376" i="13"/>
  <c r="O377" i="13"/>
  <c r="O378" i="13"/>
  <c r="O379" i="13"/>
  <c r="O380" i="13"/>
  <c r="O381" i="13"/>
  <c r="O382" i="13"/>
  <c r="O383" i="13"/>
  <c r="O384" i="13"/>
  <c r="O385" i="13"/>
  <c r="O386" i="13"/>
  <c r="O387" i="13"/>
  <c r="O388" i="13"/>
  <c r="O389" i="13"/>
  <c r="O390" i="13"/>
  <c r="O391" i="13"/>
  <c r="O392" i="13"/>
  <c r="O393" i="13"/>
  <c r="O394" i="13"/>
  <c r="O395" i="13"/>
  <c r="O396" i="13"/>
  <c r="O397" i="13"/>
  <c r="O398" i="13"/>
  <c r="O399" i="13"/>
  <c r="O400" i="13"/>
  <c r="O401" i="13"/>
  <c r="O402" i="13"/>
  <c r="O403" i="13"/>
  <c r="O404" i="13"/>
  <c r="O405" i="13"/>
  <c r="O406" i="13"/>
  <c r="O407" i="13"/>
  <c r="O408" i="13"/>
  <c r="O409" i="13"/>
  <c r="O410" i="13"/>
  <c r="O411" i="13"/>
  <c r="O412" i="13"/>
  <c r="O413" i="13"/>
  <c r="O414" i="13"/>
  <c r="O415" i="13"/>
  <c r="O416" i="13"/>
  <c r="O417" i="13"/>
  <c r="O418" i="13"/>
  <c r="O419" i="13"/>
  <c r="O420" i="13"/>
  <c r="O421" i="13"/>
  <c r="O422" i="13"/>
  <c r="O423" i="13"/>
  <c r="O424" i="13"/>
  <c r="O425" i="13"/>
  <c r="O426" i="13"/>
  <c r="O427" i="13"/>
  <c r="O428" i="13"/>
  <c r="O429" i="13"/>
  <c r="O430" i="13"/>
  <c r="O431" i="13"/>
  <c r="O432" i="13"/>
  <c r="O433" i="13"/>
  <c r="O434" i="13"/>
  <c r="O435" i="13"/>
  <c r="O436" i="13"/>
  <c r="O437" i="13"/>
  <c r="O438" i="13"/>
  <c r="O439" i="13"/>
  <c r="O440" i="13"/>
  <c r="O441" i="13"/>
  <c r="O442" i="13"/>
  <c r="O443" i="13"/>
  <c r="O444" i="13"/>
  <c r="O445" i="13"/>
  <c r="O446" i="13"/>
  <c r="O447" i="13"/>
  <c r="O448" i="13"/>
  <c r="O449" i="13"/>
  <c r="O450" i="13"/>
  <c r="O451" i="13"/>
  <c r="O452" i="13"/>
  <c r="O453" i="13"/>
  <c r="O454" i="13"/>
  <c r="O455" i="13"/>
  <c r="O456" i="13"/>
  <c r="O457" i="13"/>
  <c r="O458" i="13"/>
  <c r="O459" i="13"/>
  <c r="O460" i="13"/>
  <c r="O461" i="13"/>
  <c r="O462" i="13"/>
  <c r="O463" i="13"/>
  <c r="O464" i="13"/>
  <c r="O465" i="13"/>
  <c r="O466" i="13"/>
  <c r="O467" i="13"/>
  <c r="O468" i="13"/>
  <c r="O469" i="13"/>
  <c r="O470" i="13"/>
  <c r="O471" i="13"/>
  <c r="O472" i="13"/>
  <c r="O473" i="13"/>
  <c r="O474" i="13"/>
  <c r="O475" i="13"/>
  <c r="O476" i="13"/>
  <c r="O477" i="13"/>
  <c r="O478" i="13"/>
  <c r="O479" i="13"/>
  <c r="O480" i="13"/>
  <c r="O481" i="13"/>
  <c r="O482" i="13"/>
  <c r="O483" i="13"/>
  <c r="O484" i="13"/>
  <c r="O485" i="13"/>
  <c r="O486" i="13"/>
  <c r="O487" i="13"/>
  <c r="O488" i="13"/>
  <c r="O489" i="13"/>
  <c r="O490" i="13"/>
  <c r="O491" i="13"/>
  <c r="O492" i="13"/>
  <c r="O493" i="13"/>
  <c r="O494" i="13"/>
  <c r="O495" i="13"/>
  <c r="O496" i="13"/>
  <c r="O497" i="13"/>
  <c r="O498" i="13"/>
  <c r="O499" i="13"/>
  <c r="O500" i="13"/>
  <c r="O501" i="13"/>
  <c r="O502" i="13"/>
  <c r="O503" i="13"/>
  <c r="O504" i="13"/>
  <c r="O505" i="13"/>
  <c r="O506" i="13"/>
  <c r="O507" i="13"/>
  <c r="O508" i="13"/>
  <c r="O509" i="13"/>
  <c r="O510" i="13"/>
  <c r="O511" i="13"/>
  <c r="O512" i="13"/>
  <c r="O513" i="13"/>
  <c r="O514" i="13"/>
  <c r="O515" i="13"/>
  <c r="O516" i="13"/>
  <c r="O517" i="13"/>
  <c r="O518" i="13"/>
  <c r="O519" i="13"/>
  <c r="O520" i="13"/>
  <c r="O521" i="13"/>
  <c r="O522" i="13"/>
  <c r="O523" i="13"/>
  <c r="O524" i="13"/>
  <c r="O525" i="13"/>
  <c r="O526" i="13"/>
  <c r="O527" i="13"/>
  <c r="O528" i="13"/>
  <c r="O529" i="13"/>
  <c r="O530" i="13"/>
  <c r="O531" i="13"/>
  <c r="O532" i="13"/>
  <c r="O533" i="13"/>
  <c r="O534" i="13"/>
  <c r="O535" i="13"/>
  <c r="O536" i="13"/>
  <c r="O537" i="13"/>
  <c r="O538" i="13"/>
  <c r="O539" i="13"/>
  <c r="O540" i="13"/>
  <c r="O541" i="13"/>
  <c r="O542" i="13"/>
  <c r="O543" i="13"/>
  <c r="O544" i="13"/>
  <c r="O545" i="13"/>
  <c r="O546" i="13"/>
  <c r="O547" i="13"/>
  <c r="O548" i="13"/>
  <c r="O549" i="13"/>
  <c r="O550" i="13"/>
  <c r="O551" i="13"/>
  <c r="O552" i="13"/>
  <c r="O553" i="13"/>
  <c r="O554" i="13"/>
  <c r="O555" i="13"/>
  <c r="O556" i="13"/>
  <c r="O557" i="13"/>
  <c r="O558" i="13"/>
  <c r="O559" i="13"/>
  <c r="O560" i="13"/>
  <c r="O561" i="13"/>
  <c r="O562" i="13"/>
  <c r="O563" i="13"/>
  <c r="O564" i="13"/>
  <c r="O565" i="13"/>
  <c r="O566" i="13"/>
  <c r="O567" i="13"/>
  <c r="O568" i="13"/>
  <c r="O569" i="13"/>
  <c r="O570" i="13"/>
  <c r="O571" i="13"/>
  <c r="O572" i="13"/>
  <c r="O573" i="13"/>
  <c r="O574" i="13"/>
  <c r="O575" i="13"/>
  <c r="O576" i="13"/>
  <c r="O577" i="13"/>
  <c r="O578" i="13"/>
  <c r="O579" i="13"/>
  <c r="O580" i="13"/>
  <c r="O581" i="13"/>
  <c r="O582" i="13"/>
  <c r="O583" i="13"/>
  <c r="O584" i="13"/>
  <c r="O585" i="13"/>
  <c r="O586" i="13"/>
  <c r="O587" i="13"/>
  <c r="O588" i="13"/>
  <c r="O589" i="13"/>
  <c r="O590" i="13"/>
  <c r="O591" i="13"/>
  <c r="O592" i="13"/>
  <c r="O593" i="13"/>
  <c r="O594" i="13"/>
  <c r="O595" i="13"/>
  <c r="O596" i="13"/>
  <c r="O597" i="13"/>
  <c r="O598" i="13"/>
  <c r="O599" i="13"/>
  <c r="O600" i="13"/>
  <c r="O601" i="13"/>
  <c r="O602" i="13"/>
  <c r="O603" i="13"/>
  <c r="O604" i="13"/>
  <c r="O605" i="13"/>
  <c r="O606" i="13"/>
  <c r="O607" i="13"/>
  <c r="O608" i="13"/>
  <c r="O609" i="13"/>
  <c r="O610" i="13"/>
  <c r="O611" i="13"/>
  <c r="O612" i="13"/>
  <c r="O613" i="13"/>
  <c r="O614" i="13"/>
  <c r="O615" i="13"/>
  <c r="O616" i="13"/>
  <c r="O617" i="13"/>
  <c r="O618" i="13"/>
  <c r="O619" i="13"/>
  <c r="O620" i="13"/>
  <c r="O621" i="13"/>
  <c r="O622" i="13"/>
  <c r="O623" i="13"/>
  <c r="O624" i="13"/>
  <c r="O625" i="13"/>
  <c r="O626" i="13"/>
  <c r="O627" i="13"/>
  <c r="O628" i="13"/>
  <c r="O629" i="13"/>
  <c r="O630" i="13"/>
  <c r="O631" i="13"/>
  <c r="O632" i="13"/>
  <c r="O633" i="13"/>
  <c r="O634" i="13"/>
  <c r="O635" i="13"/>
  <c r="O636" i="13"/>
  <c r="O637" i="13"/>
  <c r="O638" i="13"/>
  <c r="O639" i="13"/>
  <c r="O640" i="13"/>
  <c r="O641" i="13"/>
  <c r="R69" i="2"/>
  <c r="R12" i="2"/>
  <c r="R112" i="2"/>
  <c r="R113" i="2"/>
  <c r="R37" i="2"/>
  <c r="R114" i="2"/>
  <c r="R59" i="2"/>
  <c r="R60" i="2"/>
  <c r="R3" i="2"/>
  <c r="R96" i="2"/>
  <c r="R61" i="2"/>
  <c r="R115" i="2"/>
  <c r="R19" i="2"/>
  <c r="R116" i="2"/>
  <c r="R46" i="2"/>
  <c r="R117" i="2"/>
  <c r="R38" i="2"/>
  <c r="R27" i="2"/>
  <c r="R70" i="2"/>
  <c r="R20" i="2"/>
  <c r="R118" i="2"/>
  <c r="R71" i="2"/>
  <c r="R97" i="2"/>
  <c r="R21" i="2"/>
  <c r="R72" i="2"/>
  <c r="R73" i="2"/>
  <c r="R31" i="2"/>
  <c r="R49" i="2"/>
  <c r="R62" i="2"/>
  <c r="R33" i="2"/>
  <c r="R63" i="2"/>
  <c r="R74" i="2"/>
  <c r="R119" i="2"/>
  <c r="R120" i="2"/>
  <c r="R98" i="2"/>
  <c r="R64" i="2"/>
  <c r="R99" i="2"/>
  <c r="R65" i="2"/>
  <c r="R4" i="2"/>
  <c r="R39" i="2"/>
  <c r="R75" i="2"/>
  <c r="R76" i="2"/>
  <c r="R66" i="2"/>
  <c r="R77" i="2"/>
  <c r="R13" i="2"/>
  <c r="R47" i="2"/>
  <c r="R78" i="2"/>
  <c r="R67" i="2"/>
  <c r="R100" i="2"/>
  <c r="R101" i="2"/>
  <c r="R102" i="2"/>
  <c r="R103" i="2"/>
  <c r="R40" i="2"/>
  <c r="R68" i="2"/>
  <c r="R104" i="2"/>
  <c r="R105" i="2"/>
  <c r="R22" i="2"/>
  <c r="R34" i="2"/>
  <c r="R106" i="2"/>
  <c r="R79" i="2"/>
  <c r="R121" i="2"/>
  <c r="R80" i="2"/>
  <c r="R86" i="2"/>
  <c r="R87" i="2"/>
  <c r="R23" i="2"/>
  <c r="R5" i="2"/>
  <c r="R50" i="2"/>
  <c r="R41" i="2"/>
  <c r="R42" i="2"/>
  <c r="R35" i="2"/>
  <c r="R28" i="2"/>
  <c r="R88" i="2"/>
  <c r="R43" i="2"/>
  <c r="R89" i="2"/>
  <c r="R95" i="2"/>
  <c r="R122" i="2"/>
  <c r="R90" i="2"/>
  <c r="R32" i="2"/>
  <c r="R24" i="2"/>
  <c r="R91" i="2"/>
  <c r="R6" i="2"/>
  <c r="R81" i="2"/>
  <c r="R44" i="2"/>
  <c r="R29" i="2"/>
  <c r="R92" i="2"/>
  <c r="R7" i="2"/>
  <c r="R14" i="2"/>
  <c r="R82" i="2"/>
  <c r="R15" i="2"/>
  <c r="R45" i="2"/>
  <c r="R8" i="2"/>
  <c r="R111" i="2"/>
  <c r="R36" i="2"/>
  <c r="R93" i="2"/>
  <c r="R83" i="2"/>
  <c r="R84" i="2"/>
  <c r="R53" i="2"/>
  <c r="R51" i="2"/>
  <c r="R52" i="2"/>
  <c r="R85" i="2"/>
  <c r="R48" i="2"/>
  <c r="R94" i="2"/>
  <c r="R9" i="2"/>
  <c r="R55" i="2"/>
  <c r="R107" i="2"/>
  <c r="R30" i="2"/>
  <c r="R16" i="2"/>
  <c r="R58" i="2"/>
  <c r="R54" i="2"/>
  <c r="R10" i="2"/>
  <c r="R17" i="2"/>
  <c r="R18" i="2"/>
  <c r="R108" i="2"/>
  <c r="R56" i="2"/>
  <c r="R11" i="2"/>
  <c r="R57" i="2"/>
  <c r="R109" i="2"/>
  <c r="R25" i="2"/>
  <c r="R110" i="2"/>
  <c r="R26" i="2"/>
  <c r="R2" i="2"/>
  <c r="U69" i="2"/>
  <c r="U12" i="2"/>
  <c r="U112" i="2"/>
  <c r="U113" i="2"/>
  <c r="U37" i="2"/>
  <c r="U114" i="2"/>
  <c r="U59" i="2"/>
  <c r="U60" i="2"/>
  <c r="U3" i="2"/>
  <c r="U96" i="2"/>
  <c r="U61" i="2"/>
  <c r="U115" i="2"/>
  <c r="U19" i="2"/>
  <c r="U116" i="2"/>
  <c r="U46" i="2"/>
  <c r="U117" i="2"/>
  <c r="U38" i="2"/>
  <c r="U27" i="2"/>
  <c r="U70" i="2"/>
  <c r="U20" i="2"/>
  <c r="U118" i="2"/>
  <c r="U71" i="2"/>
  <c r="U97" i="2"/>
  <c r="U21" i="2"/>
  <c r="U72" i="2"/>
  <c r="U73" i="2"/>
  <c r="U31" i="2"/>
  <c r="U49" i="2"/>
  <c r="U62" i="2"/>
  <c r="U33" i="2"/>
  <c r="U63" i="2"/>
  <c r="U74" i="2"/>
  <c r="U119" i="2"/>
  <c r="U120" i="2"/>
  <c r="U98" i="2"/>
  <c r="U64" i="2"/>
  <c r="U99" i="2"/>
  <c r="U65" i="2"/>
  <c r="U4" i="2"/>
  <c r="U39" i="2"/>
  <c r="U75" i="2"/>
  <c r="U76" i="2"/>
  <c r="U66" i="2"/>
  <c r="U77" i="2"/>
  <c r="U13" i="2"/>
  <c r="U47" i="2"/>
  <c r="U78" i="2"/>
  <c r="U67" i="2"/>
  <c r="U100" i="2"/>
  <c r="U101" i="2"/>
  <c r="U102" i="2"/>
  <c r="U103" i="2"/>
  <c r="U40" i="2"/>
  <c r="U68" i="2"/>
  <c r="U104" i="2"/>
  <c r="U105" i="2"/>
  <c r="U22" i="2"/>
  <c r="U34" i="2"/>
  <c r="U106" i="2"/>
  <c r="U79" i="2"/>
  <c r="U121" i="2"/>
  <c r="U80" i="2"/>
  <c r="U86" i="2"/>
  <c r="U87" i="2"/>
  <c r="U23" i="2"/>
  <c r="U5" i="2"/>
  <c r="U50" i="2"/>
  <c r="U41" i="2"/>
  <c r="U42" i="2"/>
  <c r="U35" i="2"/>
  <c r="U28" i="2"/>
  <c r="U88" i="2"/>
  <c r="U43" i="2"/>
  <c r="U89" i="2"/>
  <c r="U95" i="2"/>
  <c r="U122" i="2"/>
  <c r="U90" i="2"/>
  <c r="U32" i="2"/>
  <c r="U24" i="2"/>
  <c r="U91" i="2"/>
  <c r="U6" i="2"/>
  <c r="U81" i="2"/>
  <c r="U44" i="2"/>
  <c r="U29" i="2"/>
  <c r="U92" i="2"/>
  <c r="U7" i="2"/>
  <c r="U14" i="2"/>
  <c r="U82" i="2"/>
  <c r="U15" i="2"/>
  <c r="U45" i="2"/>
  <c r="U8" i="2"/>
  <c r="U111" i="2"/>
  <c r="U36" i="2"/>
  <c r="U93" i="2"/>
  <c r="U83" i="2"/>
  <c r="U84" i="2"/>
  <c r="U53" i="2"/>
  <c r="U51" i="2"/>
  <c r="U52" i="2"/>
  <c r="U85" i="2"/>
  <c r="U48" i="2"/>
  <c r="U94" i="2"/>
  <c r="U9" i="2"/>
  <c r="U55" i="2"/>
  <c r="U107" i="2"/>
  <c r="U30" i="2"/>
  <c r="U16" i="2"/>
  <c r="U58" i="2"/>
  <c r="U54" i="2"/>
  <c r="U10" i="2"/>
  <c r="U17" i="2"/>
  <c r="U18" i="2"/>
  <c r="U108" i="2"/>
  <c r="U56" i="2"/>
  <c r="U11" i="2"/>
  <c r="U57" i="2"/>
  <c r="U109" i="2"/>
  <c r="U25" i="2"/>
  <c r="U110" i="2"/>
  <c r="U26" i="2"/>
  <c r="U2" i="2"/>
  <c r="V69" i="2"/>
  <c r="V12" i="2"/>
  <c r="V112" i="2"/>
  <c r="V113" i="2"/>
  <c r="V37" i="2"/>
  <c r="V114" i="2"/>
  <c r="V59" i="2"/>
  <c r="V60" i="2"/>
  <c r="V3" i="2"/>
  <c r="V96" i="2"/>
  <c r="V61" i="2"/>
  <c r="V115" i="2"/>
  <c r="V19" i="2"/>
  <c r="V116" i="2"/>
  <c r="V46" i="2"/>
  <c r="V117" i="2"/>
  <c r="V38" i="2"/>
  <c r="V27" i="2"/>
  <c r="V70" i="2"/>
  <c r="V20" i="2"/>
  <c r="V118" i="2"/>
  <c r="V71" i="2"/>
  <c r="V97" i="2"/>
  <c r="V21" i="2"/>
  <c r="V72" i="2"/>
  <c r="V73" i="2"/>
  <c r="V31" i="2"/>
  <c r="V49" i="2"/>
  <c r="V62" i="2"/>
  <c r="V33" i="2"/>
  <c r="V63" i="2"/>
  <c r="V74" i="2"/>
  <c r="V119" i="2"/>
  <c r="V120" i="2"/>
  <c r="V98" i="2"/>
  <c r="V64" i="2"/>
  <c r="V99" i="2"/>
  <c r="V65" i="2"/>
  <c r="V4" i="2"/>
  <c r="V39" i="2"/>
  <c r="V75" i="2"/>
  <c r="V76" i="2"/>
  <c r="V66" i="2"/>
  <c r="V77" i="2"/>
  <c r="V13" i="2"/>
  <c r="V47" i="2"/>
  <c r="V78" i="2"/>
  <c r="V67" i="2"/>
  <c r="V100" i="2"/>
  <c r="V101" i="2"/>
  <c r="V102" i="2"/>
  <c r="V103" i="2"/>
  <c r="V40" i="2"/>
  <c r="V68" i="2"/>
  <c r="V104" i="2"/>
  <c r="V105" i="2"/>
  <c r="V22" i="2"/>
  <c r="V34" i="2"/>
  <c r="V106" i="2"/>
  <c r="V79" i="2"/>
  <c r="V121" i="2"/>
  <c r="V80" i="2"/>
  <c r="V86" i="2"/>
  <c r="V87" i="2"/>
  <c r="V23" i="2"/>
  <c r="V5" i="2"/>
  <c r="V50" i="2"/>
  <c r="V41" i="2"/>
  <c r="V42" i="2"/>
  <c r="V35" i="2"/>
  <c r="V28" i="2"/>
  <c r="V88" i="2"/>
  <c r="V43" i="2"/>
  <c r="V89" i="2"/>
  <c r="V95" i="2"/>
  <c r="V122" i="2"/>
  <c r="V90" i="2"/>
  <c r="V32" i="2"/>
  <c r="V24" i="2"/>
  <c r="V91" i="2"/>
  <c r="V6" i="2"/>
  <c r="V81" i="2"/>
  <c r="V44" i="2"/>
  <c r="V29" i="2"/>
  <c r="V92" i="2"/>
  <c r="V7" i="2"/>
  <c r="V14" i="2"/>
  <c r="V82" i="2"/>
  <c r="V15" i="2"/>
  <c r="V45" i="2"/>
  <c r="V8" i="2"/>
  <c r="V111" i="2"/>
  <c r="V36" i="2"/>
  <c r="V93" i="2"/>
  <c r="V83" i="2"/>
  <c r="V84" i="2"/>
  <c r="V53" i="2"/>
  <c r="V51" i="2"/>
  <c r="V52" i="2"/>
  <c r="V85" i="2"/>
  <c r="V48" i="2"/>
  <c r="V94" i="2"/>
  <c r="V9" i="2"/>
  <c r="V55" i="2"/>
  <c r="V107" i="2"/>
  <c r="V30" i="2"/>
  <c r="V16" i="2"/>
  <c r="V58" i="2"/>
  <c r="V54" i="2"/>
  <c r="V10" i="2"/>
  <c r="V17" i="2"/>
  <c r="V18" i="2"/>
  <c r="V108" i="2"/>
  <c r="V56" i="2"/>
  <c r="V11" i="2"/>
  <c r="V57" i="2"/>
  <c r="V109" i="2"/>
  <c r="V25" i="2"/>
  <c r="V110" i="2"/>
  <c r="V26" i="2"/>
  <c r="V2" i="2"/>
  <c r="W69" i="2"/>
  <c r="W12" i="2"/>
  <c r="W112" i="2"/>
  <c r="W113" i="2"/>
  <c r="W37" i="2"/>
  <c r="W114" i="2"/>
  <c r="W59" i="2"/>
  <c r="W60" i="2"/>
  <c r="W3" i="2"/>
  <c r="W96" i="2"/>
  <c r="W61" i="2"/>
  <c r="W115" i="2"/>
  <c r="W19" i="2"/>
  <c r="W116" i="2"/>
  <c r="W46" i="2"/>
  <c r="W117" i="2"/>
  <c r="W38" i="2"/>
  <c r="W27" i="2"/>
  <c r="W70" i="2"/>
  <c r="W20" i="2"/>
  <c r="W118" i="2"/>
  <c r="W71" i="2"/>
  <c r="W97" i="2"/>
  <c r="W21" i="2"/>
  <c r="W72" i="2"/>
  <c r="W73" i="2"/>
  <c r="W31" i="2"/>
  <c r="W49" i="2"/>
  <c r="W62" i="2"/>
  <c r="W33" i="2"/>
  <c r="W63" i="2"/>
  <c r="W74" i="2"/>
  <c r="W119" i="2"/>
  <c r="W120" i="2"/>
  <c r="W98" i="2"/>
  <c r="W64" i="2"/>
  <c r="W99" i="2"/>
  <c r="W65" i="2"/>
  <c r="W4" i="2"/>
  <c r="W39" i="2"/>
  <c r="W75" i="2"/>
  <c r="W76" i="2"/>
  <c r="W66" i="2"/>
  <c r="W77" i="2"/>
  <c r="W13" i="2"/>
  <c r="W47" i="2"/>
  <c r="W78" i="2"/>
  <c r="W67" i="2"/>
  <c r="W100" i="2"/>
  <c r="W101" i="2"/>
  <c r="W102" i="2"/>
  <c r="W103" i="2"/>
  <c r="W40" i="2"/>
  <c r="W68" i="2"/>
  <c r="W104" i="2"/>
  <c r="W105" i="2"/>
  <c r="W22" i="2"/>
  <c r="W34" i="2"/>
  <c r="W106" i="2"/>
  <c r="W79" i="2"/>
  <c r="W121" i="2"/>
  <c r="W80" i="2"/>
  <c r="W86" i="2"/>
  <c r="W87" i="2"/>
  <c r="W23" i="2"/>
  <c r="W5" i="2"/>
  <c r="W50" i="2"/>
  <c r="W41" i="2"/>
  <c r="W42" i="2"/>
  <c r="W35" i="2"/>
  <c r="W28" i="2"/>
  <c r="W88" i="2"/>
  <c r="W43" i="2"/>
  <c r="W89" i="2"/>
  <c r="W95" i="2"/>
  <c r="W122" i="2"/>
  <c r="W90" i="2"/>
  <c r="W32" i="2"/>
  <c r="W24" i="2"/>
  <c r="W91" i="2"/>
  <c r="W6" i="2"/>
  <c r="W81" i="2"/>
  <c r="W44" i="2"/>
  <c r="W29" i="2"/>
  <c r="W92" i="2"/>
  <c r="W7" i="2"/>
  <c r="W14" i="2"/>
  <c r="W82" i="2"/>
  <c r="W15" i="2"/>
  <c r="W45" i="2"/>
  <c r="W8" i="2"/>
  <c r="W111" i="2"/>
  <c r="W36" i="2"/>
  <c r="W93" i="2"/>
  <c r="W83" i="2"/>
  <c r="W84" i="2"/>
  <c r="W53" i="2"/>
  <c r="W51" i="2"/>
  <c r="W52" i="2"/>
  <c r="W85" i="2"/>
  <c r="W48" i="2"/>
  <c r="W94" i="2"/>
  <c r="W9" i="2"/>
  <c r="W55" i="2"/>
  <c r="W107" i="2"/>
  <c r="W30" i="2"/>
  <c r="W16" i="2"/>
  <c r="W58" i="2"/>
  <c r="W54" i="2"/>
  <c r="W10" i="2"/>
  <c r="W17" i="2"/>
  <c r="W18" i="2"/>
  <c r="W108" i="2"/>
  <c r="W56" i="2"/>
  <c r="W11" i="2"/>
  <c r="W57" i="2"/>
  <c r="W109" i="2"/>
  <c r="W25" i="2"/>
  <c r="W110" i="2"/>
  <c r="W26" i="2"/>
  <c r="W2" i="2"/>
  <c r="X69" i="2"/>
  <c r="X12" i="2"/>
  <c r="X112" i="2"/>
  <c r="X113" i="2"/>
  <c r="X37" i="2"/>
  <c r="X114" i="2"/>
  <c r="X59" i="2"/>
  <c r="X60" i="2"/>
  <c r="X3" i="2"/>
  <c r="X96" i="2"/>
  <c r="X61" i="2"/>
  <c r="X115" i="2"/>
  <c r="X19" i="2"/>
  <c r="X116" i="2"/>
  <c r="X46" i="2"/>
  <c r="X117" i="2"/>
  <c r="X38" i="2"/>
  <c r="X27" i="2"/>
  <c r="X70" i="2"/>
  <c r="X20" i="2"/>
  <c r="X118" i="2"/>
  <c r="X71" i="2"/>
  <c r="X97" i="2"/>
  <c r="X21" i="2"/>
  <c r="X72" i="2"/>
  <c r="X73" i="2"/>
  <c r="X31" i="2"/>
  <c r="X49" i="2"/>
  <c r="X62" i="2"/>
  <c r="X33" i="2"/>
  <c r="X63" i="2"/>
  <c r="X74" i="2"/>
  <c r="X119" i="2"/>
  <c r="X120" i="2"/>
  <c r="X98" i="2"/>
  <c r="X64" i="2"/>
  <c r="X99" i="2"/>
  <c r="X65" i="2"/>
  <c r="X4" i="2"/>
  <c r="X39" i="2"/>
  <c r="X75" i="2"/>
  <c r="X76" i="2"/>
  <c r="X66" i="2"/>
  <c r="X77" i="2"/>
  <c r="X13" i="2"/>
  <c r="X47" i="2"/>
  <c r="X78" i="2"/>
  <c r="X67" i="2"/>
  <c r="X100" i="2"/>
  <c r="X101" i="2"/>
  <c r="X102" i="2"/>
  <c r="X103" i="2"/>
  <c r="X40" i="2"/>
  <c r="X68" i="2"/>
  <c r="X104" i="2"/>
  <c r="X105" i="2"/>
  <c r="X22" i="2"/>
  <c r="X34" i="2"/>
  <c r="X106" i="2"/>
  <c r="X79" i="2"/>
  <c r="X121" i="2"/>
  <c r="X80" i="2"/>
  <c r="X86" i="2"/>
  <c r="X87" i="2"/>
  <c r="X23" i="2"/>
  <c r="X5" i="2"/>
  <c r="X50" i="2"/>
  <c r="X41" i="2"/>
  <c r="X42" i="2"/>
  <c r="X35" i="2"/>
  <c r="X28" i="2"/>
  <c r="X88" i="2"/>
  <c r="X43" i="2"/>
  <c r="X89" i="2"/>
  <c r="X95" i="2"/>
  <c r="X122" i="2"/>
  <c r="X90" i="2"/>
  <c r="X32" i="2"/>
  <c r="X24" i="2"/>
  <c r="X91" i="2"/>
  <c r="X6" i="2"/>
  <c r="X81" i="2"/>
  <c r="X44" i="2"/>
  <c r="X29" i="2"/>
  <c r="X92" i="2"/>
  <c r="X7" i="2"/>
  <c r="X14" i="2"/>
  <c r="X82" i="2"/>
  <c r="X15" i="2"/>
  <c r="X45" i="2"/>
  <c r="X8" i="2"/>
  <c r="X111" i="2"/>
  <c r="X36" i="2"/>
  <c r="X93" i="2"/>
  <c r="X83" i="2"/>
  <c r="X84" i="2"/>
  <c r="X53" i="2"/>
  <c r="X51" i="2"/>
  <c r="X52" i="2"/>
  <c r="X85" i="2"/>
  <c r="X48" i="2"/>
  <c r="X94" i="2"/>
  <c r="X9" i="2"/>
  <c r="X55" i="2"/>
  <c r="X107" i="2"/>
  <c r="X30" i="2"/>
  <c r="X16" i="2"/>
  <c r="X58" i="2"/>
  <c r="X54" i="2"/>
  <c r="X10" i="2"/>
  <c r="X17" i="2"/>
  <c r="X18" i="2"/>
  <c r="X108" i="2"/>
  <c r="X56" i="2"/>
  <c r="X11" i="2"/>
  <c r="X57" i="2"/>
  <c r="X109" i="2"/>
  <c r="X25" i="2"/>
  <c r="X110" i="2"/>
  <c r="X26" i="2"/>
  <c r="X2" i="2"/>
  <c r="Y69" i="2"/>
  <c r="Y12" i="2"/>
  <c r="Y112" i="2"/>
  <c r="Y113" i="2"/>
  <c r="Y37" i="2"/>
  <c r="Y114" i="2"/>
  <c r="Y59" i="2"/>
  <c r="Y60" i="2"/>
  <c r="Y3" i="2"/>
  <c r="Y96" i="2"/>
  <c r="Y61" i="2"/>
  <c r="Y115" i="2"/>
  <c r="Y19" i="2"/>
  <c r="Y116" i="2"/>
  <c r="Y46" i="2"/>
  <c r="Y117" i="2"/>
  <c r="Y38" i="2"/>
  <c r="Y27" i="2"/>
  <c r="Y70" i="2"/>
  <c r="Y20" i="2"/>
  <c r="Y118" i="2"/>
  <c r="Y71" i="2"/>
  <c r="Y97" i="2"/>
  <c r="Y21" i="2"/>
  <c r="Y72" i="2"/>
  <c r="Y73" i="2"/>
  <c r="Y31" i="2"/>
  <c r="Y49" i="2"/>
  <c r="Y62" i="2"/>
  <c r="Y33" i="2"/>
  <c r="Y63" i="2"/>
  <c r="Y74" i="2"/>
  <c r="Y119" i="2"/>
  <c r="Y120" i="2"/>
  <c r="Y98" i="2"/>
  <c r="Y64" i="2"/>
  <c r="Y99" i="2"/>
  <c r="Y65" i="2"/>
  <c r="Y4" i="2"/>
  <c r="Y39" i="2"/>
  <c r="Y75" i="2"/>
  <c r="Y76" i="2"/>
  <c r="Y66" i="2"/>
  <c r="Y77" i="2"/>
  <c r="Y13" i="2"/>
  <c r="Y47" i="2"/>
  <c r="Y78" i="2"/>
  <c r="Y67" i="2"/>
  <c r="Y100" i="2"/>
  <c r="Y101" i="2"/>
  <c r="Y102" i="2"/>
  <c r="Y103" i="2"/>
  <c r="Y40" i="2"/>
  <c r="Y68" i="2"/>
  <c r="Y104" i="2"/>
  <c r="Y105" i="2"/>
  <c r="Y22" i="2"/>
  <c r="Y34" i="2"/>
  <c r="Y106" i="2"/>
  <c r="Y79" i="2"/>
  <c r="Y121" i="2"/>
  <c r="Y80" i="2"/>
  <c r="Y86" i="2"/>
  <c r="Y87" i="2"/>
  <c r="Y23" i="2"/>
  <c r="Y5" i="2"/>
  <c r="Y50" i="2"/>
  <c r="Y41" i="2"/>
  <c r="Y42" i="2"/>
  <c r="Y35" i="2"/>
  <c r="Y28" i="2"/>
  <c r="Y88" i="2"/>
  <c r="Y43" i="2"/>
  <c r="Y89" i="2"/>
  <c r="Y95" i="2"/>
  <c r="Y122" i="2"/>
  <c r="Y90" i="2"/>
  <c r="Y32" i="2"/>
  <c r="Y24" i="2"/>
  <c r="Y91" i="2"/>
  <c r="Y6" i="2"/>
  <c r="Y81" i="2"/>
  <c r="Y44" i="2"/>
  <c r="Y29" i="2"/>
  <c r="Y92" i="2"/>
  <c r="Y7" i="2"/>
  <c r="Y14" i="2"/>
  <c r="Y82" i="2"/>
  <c r="Y15" i="2"/>
  <c r="Y45" i="2"/>
  <c r="Y8" i="2"/>
  <c r="Y111" i="2"/>
  <c r="Y36" i="2"/>
  <c r="Y93" i="2"/>
  <c r="Y83" i="2"/>
  <c r="Y84" i="2"/>
  <c r="Y53" i="2"/>
  <c r="Y51" i="2"/>
  <c r="Y52" i="2"/>
  <c r="Y85" i="2"/>
  <c r="Y48" i="2"/>
  <c r="Y94" i="2"/>
  <c r="Y9" i="2"/>
  <c r="Y55" i="2"/>
  <c r="Y107" i="2"/>
  <c r="Y30" i="2"/>
  <c r="Y16" i="2"/>
  <c r="Y58" i="2"/>
  <c r="Y54" i="2"/>
  <c r="Y10" i="2"/>
  <c r="Y17" i="2"/>
  <c r="Y18" i="2"/>
  <c r="Y108" i="2"/>
  <c r="Y56" i="2"/>
  <c r="Y11" i="2"/>
  <c r="Y57" i="2"/>
  <c r="Y109" i="2"/>
  <c r="Y25" i="2"/>
  <c r="Y110" i="2"/>
  <c r="Y26" i="2"/>
  <c r="Y2" i="2"/>
  <c r="AE69" i="2"/>
  <c r="AE12" i="2"/>
  <c r="AE112" i="2"/>
  <c r="AE113" i="2"/>
  <c r="AE37" i="2"/>
  <c r="AE114" i="2"/>
  <c r="AE59" i="2"/>
  <c r="AE60" i="2"/>
  <c r="AE3" i="2"/>
  <c r="AE96" i="2"/>
  <c r="AE61" i="2"/>
  <c r="AE115" i="2"/>
  <c r="AE19" i="2"/>
  <c r="AE116" i="2"/>
  <c r="AE46" i="2"/>
  <c r="AE117" i="2"/>
  <c r="AE38" i="2"/>
  <c r="AE27" i="2"/>
  <c r="AE70" i="2"/>
  <c r="AE20" i="2"/>
  <c r="AE118" i="2"/>
  <c r="AE71" i="2"/>
  <c r="AE97" i="2"/>
  <c r="AE21" i="2"/>
  <c r="AE72" i="2"/>
  <c r="AE73" i="2"/>
  <c r="AE31" i="2"/>
  <c r="AE49" i="2"/>
  <c r="AE62" i="2"/>
  <c r="AE33" i="2"/>
  <c r="AE63" i="2"/>
  <c r="AE74" i="2"/>
  <c r="AE119" i="2"/>
  <c r="AE120" i="2"/>
  <c r="AE98" i="2"/>
  <c r="AE64" i="2"/>
  <c r="AE99" i="2"/>
  <c r="AE65" i="2"/>
  <c r="AE4" i="2"/>
  <c r="AE39" i="2"/>
  <c r="AE75" i="2"/>
  <c r="AE76" i="2"/>
  <c r="AE66" i="2"/>
  <c r="AE77" i="2"/>
  <c r="AE13" i="2"/>
  <c r="AE47" i="2"/>
  <c r="AE78" i="2"/>
  <c r="AE67" i="2"/>
  <c r="AE100" i="2"/>
  <c r="AE101" i="2"/>
  <c r="AE102" i="2"/>
  <c r="AE103" i="2"/>
  <c r="AE40" i="2"/>
  <c r="AE68" i="2"/>
  <c r="AE104" i="2"/>
  <c r="AE105" i="2"/>
  <c r="AE22" i="2"/>
  <c r="AE34" i="2"/>
  <c r="AE106" i="2"/>
  <c r="AE79" i="2"/>
  <c r="AE121" i="2"/>
  <c r="AE80" i="2"/>
  <c r="AE86" i="2"/>
  <c r="AE87" i="2"/>
  <c r="AE23" i="2"/>
  <c r="AE5" i="2"/>
  <c r="AE50" i="2"/>
  <c r="AE41" i="2"/>
  <c r="AE42" i="2"/>
  <c r="AE35" i="2"/>
  <c r="AE28" i="2"/>
  <c r="AE88" i="2"/>
  <c r="AE43" i="2"/>
  <c r="AE89" i="2"/>
  <c r="AE95" i="2"/>
  <c r="AE122" i="2"/>
  <c r="AE90" i="2"/>
  <c r="AE32" i="2"/>
  <c r="AE24" i="2"/>
  <c r="AE91" i="2"/>
  <c r="AE6" i="2"/>
  <c r="AE81" i="2"/>
  <c r="AE44" i="2"/>
  <c r="AE29" i="2"/>
  <c r="AE92" i="2"/>
  <c r="AE7" i="2"/>
  <c r="AE14" i="2"/>
  <c r="AE82" i="2"/>
  <c r="AE15" i="2"/>
  <c r="AE45" i="2"/>
  <c r="AE8" i="2"/>
  <c r="AE111" i="2"/>
  <c r="AE36" i="2"/>
  <c r="AE93" i="2"/>
  <c r="AE83" i="2"/>
  <c r="AE84" i="2"/>
  <c r="AE53" i="2"/>
  <c r="AE51" i="2"/>
  <c r="AE52" i="2"/>
  <c r="AE85" i="2"/>
  <c r="AE48" i="2"/>
  <c r="AE94" i="2"/>
  <c r="AE9" i="2"/>
  <c r="AE55" i="2"/>
  <c r="AE107" i="2"/>
  <c r="AE30" i="2"/>
  <c r="AE16" i="2"/>
  <c r="AE58" i="2"/>
  <c r="AE54" i="2"/>
  <c r="AE10" i="2"/>
  <c r="AE17" i="2"/>
  <c r="AE18" i="2"/>
  <c r="AE108" i="2"/>
  <c r="AE56" i="2"/>
  <c r="AE11" i="2"/>
  <c r="AE57" i="2"/>
  <c r="AE109" i="2"/>
  <c r="AE25" i="2"/>
  <c r="AE110" i="2"/>
  <c r="AE26" i="2"/>
  <c r="AE2" i="2"/>
  <c r="N2" i="3"/>
  <c r="N3" i="3"/>
  <c r="N4" i="3"/>
  <c r="P4" i="3" s="1"/>
  <c r="N5" i="3"/>
  <c r="P5" i="3" s="1"/>
  <c r="N6" i="3"/>
  <c r="N7" i="3"/>
  <c r="N8" i="3"/>
  <c r="P8" i="3" s="1"/>
  <c r="N9" i="3"/>
  <c r="P9" i="3" s="1"/>
  <c r="N10" i="3"/>
  <c r="N11" i="3"/>
  <c r="N12" i="3"/>
  <c r="P12" i="3" s="1"/>
  <c r="N13" i="3"/>
  <c r="P13" i="3" s="1"/>
  <c r="N14" i="3"/>
  <c r="N15" i="3"/>
  <c r="N16" i="3"/>
  <c r="P16" i="3" s="1"/>
  <c r="N17" i="3"/>
  <c r="P17" i="3" s="1"/>
  <c r="N18" i="3"/>
  <c r="N19" i="3"/>
  <c r="N20" i="3"/>
  <c r="P20" i="3" s="1"/>
  <c r="N21" i="3"/>
  <c r="P21" i="3" s="1"/>
  <c r="N22" i="3"/>
  <c r="N23" i="3"/>
  <c r="N24" i="3"/>
  <c r="P24" i="3" s="1"/>
  <c r="N25" i="3"/>
  <c r="P25" i="3" s="1"/>
  <c r="N26" i="3"/>
  <c r="N27" i="3"/>
  <c r="N28" i="3"/>
  <c r="P28" i="3" s="1"/>
  <c r="N29" i="3"/>
  <c r="P29" i="3" s="1"/>
  <c r="N30" i="3"/>
  <c r="N31" i="3"/>
  <c r="N32" i="3"/>
  <c r="P32" i="3" s="1"/>
  <c r="N33" i="3"/>
  <c r="P33" i="3" s="1"/>
  <c r="N34" i="3"/>
  <c r="N35" i="3"/>
  <c r="N36" i="3"/>
  <c r="P36" i="3" s="1"/>
  <c r="N37" i="3"/>
  <c r="P37" i="3" s="1"/>
  <c r="N38" i="3"/>
  <c r="N39" i="3"/>
  <c r="N40" i="3"/>
  <c r="P40" i="3" s="1"/>
  <c r="N41" i="3"/>
  <c r="P41" i="3" s="1"/>
  <c r="N42" i="3"/>
  <c r="N43" i="3"/>
  <c r="N44" i="3"/>
  <c r="P44" i="3" s="1"/>
  <c r="N45" i="3"/>
  <c r="P45" i="3" s="1"/>
  <c r="N46" i="3"/>
  <c r="N47" i="3"/>
  <c r="N48" i="3"/>
  <c r="P48" i="3" s="1"/>
  <c r="N49" i="3"/>
  <c r="P49" i="3" s="1"/>
  <c r="N50" i="3"/>
  <c r="N51" i="3"/>
  <c r="N52" i="3"/>
  <c r="P52" i="3" s="1"/>
  <c r="N53" i="3"/>
  <c r="P53" i="3" s="1"/>
  <c r="N54" i="3"/>
  <c r="N55" i="3"/>
  <c r="N56" i="3"/>
  <c r="P56" i="3" s="1"/>
  <c r="N57" i="3"/>
  <c r="P57" i="3" s="1"/>
  <c r="N58" i="3"/>
  <c r="N59" i="3"/>
  <c r="N60" i="3"/>
  <c r="P60" i="3" s="1"/>
  <c r="N61" i="3"/>
  <c r="P61" i="3" s="1"/>
  <c r="N62" i="3"/>
  <c r="N63" i="3"/>
  <c r="N64" i="3"/>
  <c r="P64" i="3" s="1"/>
  <c r="N65" i="3"/>
  <c r="P65" i="3" s="1"/>
  <c r="N66" i="3"/>
  <c r="N67" i="3"/>
  <c r="N68" i="3"/>
  <c r="P68" i="3" s="1"/>
  <c r="N69" i="3"/>
  <c r="P69" i="3" s="1"/>
  <c r="N70" i="3"/>
  <c r="N71" i="3"/>
  <c r="N72" i="3"/>
  <c r="P72" i="3" s="1"/>
  <c r="N73" i="3"/>
  <c r="P73" i="3" s="1"/>
  <c r="N74" i="3"/>
  <c r="N75" i="3"/>
  <c r="N76" i="3"/>
  <c r="P76" i="3" s="1"/>
  <c r="N77" i="3"/>
  <c r="P77" i="3" s="1"/>
  <c r="N78" i="3"/>
  <c r="N79" i="3"/>
  <c r="N80" i="3"/>
  <c r="P80" i="3" s="1"/>
  <c r="N81" i="3"/>
  <c r="P81" i="3" s="1"/>
  <c r="N82" i="3"/>
  <c r="N83" i="3"/>
  <c r="N84" i="3"/>
  <c r="P84" i="3" s="1"/>
  <c r="N85" i="3"/>
  <c r="P85" i="3" s="1"/>
  <c r="N86" i="3"/>
  <c r="N87" i="3"/>
  <c r="N88" i="3"/>
  <c r="P88" i="3" s="1"/>
  <c r="N89" i="3"/>
  <c r="P89" i="3" s="1"/>
  <c r="N90" i="3"/>
  <c r="N91" i="3"/>
  <c r="N92" i="3"/>
  <c r="P92" i="3" s="1"/>
  <c r="N93" i="3"/>
  <c r="P93" i="3" s="1"/>
  <c r="N94" i="3"/>
  <c r="N95" i="3"/>
  <c r="N96" i="3"/>
  <c r="P96" i="3" s="1"/>
  <c r="N97" i="3"/>
  <c r="P97" i="3" s="1"/>
  <c r="N98" i="3"/>
  <c r="N99" i="3"/>
  <c r="N100" i="3"/>
  <c r="P100" i="3" s="1"/>
  <c r="N101" i="3"/>
  <c r="P101" i="3" s="1"/>
  <c r="N102" i="3"/>
  <c r="N103" i="3"/>
  <c r="N104" i="3"/>
  <c r="P104" i="3" s="1"/>
  <c r="N105" i="3"/>
  <c r="P105" i="3" s="1"/>
  <c r="N106" i="3"/>
  <c r="N107" i="3"/>
  <c r="N108" i="3"/>
  <c r="P108" i="3" s="1"/>
  <c r="N109" i="3"/>
  <c r="P109" i="3" s="1"/>
  <c r="N110" i="3"/>
  <c r="N111" i="3"/>
  <c r="N112" i="3"/>
  <c r="P112" i="3" s="1"/>
  <c r="N113" i="3"/>
  <c r="P113" i="3" s="1"/>
  <c r="N114" i="3"/>
  <c r="N115" i="3"/>
  <c r="N116" i="3"/>
  <c r="P116" i="3" s="1"/>
  <c r="N117" i="3"/>
  <c r="P117" i="3" s="1"/>
  <c r="N118" i="3"/>
  <c r="N119" i="3"/>
  <c r="N120" i="3"/>
  <c r="P120" i="3" s="1"/>
  <c r="N121" i="3"/>
  <c r="P121" i="3" s="1"/>
  <c r="N122" i="3"/>
  <c r="N123" i="3"/>
  <c r="N124" i="3"/>
  <c r="P124" i="3" s="1"/>
  <c r="N125" i="3"/>
  <c r="P125" i="3" s="1"/>
  <c r="N126" i="3"/>
  <c r="N127" i="3"/>
  <c r="N128" i="3"/>
  <c r="P128" i="3" s="1"/>
  <c r="N129" i="3"/>
  <c r="P129" i="3" s="1"/>
  <c r="N130" i="3"/>
  <c r="N131" i="3"/>
  <c r="N132" i="3"/>
  <c r="P132" i="3" s="1"/>
  <c r="N133" i="3"/>
  <c r="P133" i="3" s="1"/>
  <c r="N134" i="3"/>
  <c r="N135" i="3"/>
  <c r="N136" i="3"/>
  <c r="P136" i="3" s="1"/>
  <c r="N137" i="3"/>
  <c r="P137" i="3" s="1"/>
  <c r="N138" i="3"/>
  <c r="N139" i="3"/>
  <c r="N140" i="3"/>
  <c r="P140" i="3" s="1"/>
  <c r="N141" i="3"/>
  <c r="P141" i="3" s="1"/>
  <c r="N142" i="3"/>
  <c r="N143" i="3"/>
  <c r="N144" i="3"/>
  <c r="P144" i="3"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P2" i="3"/>
  <c r="P3" i="3"/>
  <c r="P6" i="3"/>
  <c r="P7" i="3"/>
  <c r="P10" i="3"/>
  <c r="P11" i="3"/>
  <c r="P14" i="3"/>
  <c r="P15" i="3"/>
  <c r="P18" i="3"/>
  <c r="P19" i="3"/>
  <c r="P22" i="3"/>
  <c r="P23" i="3"/>
  <c r="P26" i="3"/>
  <c r="P27" i="3"/>
  <c r="P30" i="3"/>
  <c r="P31" i="3"/>
  <c r="P34" i="3"/>
  <c r="P35" i="3"/>
  <c r="P38" i="3"/>
  <c r="P39" i="3"/>
  <c r="P42" i="3"/>
  <c r="P43" i="3"/>
  <c r="P46" i="3"/>
  <c r="P47" i="3"/>
  <c r="P50" i="3"/>
  <c r="P51" i="3"/>
  <c r="P54" i="3"/>
  <c r="P55" i="3"/>
  <c r="P58" i="3"/>
  <c r="P59" i="3"/>
  <c r="P62" i="3"/>
  <c r="P63" i="3"/>
  <c r="P66" i="3"/>
  <c r="P67" i="3"/>
  <c r="P70" i="3"/>
  <c r="P71" i="3"/>
  <c r="P74" i="3"/>
  <c r="P75" i="3"/>
  <c r="P78" i="3"/>
  <c r="P79" i="3"/>
  <c r="P82" i="3"/>
  <c r="P83" i="3"/>
  <c r="P86" i="3"/>
  <c r="P87" i="3"/>
  <c r="P90" i="3"/>
  <c r="P91" i="3"/>
  <c r="P94" i="3"/>
  <c r="P95" i="3"/>
  <c r="P98" i="3"/>
  <c r="P99" i="3"/>
  <c r="P102" i="3"/>
  <c r="P103" i="3"/>
  <c r="P106" i="3"/>
  <c r="P107" i="3"/>
  <c r="P110" i="3"/>
  <c r="P111" i="3"/>
  <c r="P114" i="3"/>
  <c r="P115" i="3"/>
  <c r="P118" i="3"/>
  <c r="P119" i="3"/>
  <c r="P122" i="3"/>
  <c r="P123" i="3"/>
  <c r="P126" i="3"/>
  <c r="P127" i="3"/>
  <c r="P130" i="3"/>
  <c r="P131" i="3"/>
  <c r="P134" i="3"/>
  <c r="P135" i="3"/>
  <c r="P138" i="3"/>
  <c r="P139" i="3"/>
  <c r="P142" i="3"/>
  <c r="P143" i="3"/>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S76" i="3" s="1"/>
  <c r="S77" i="3" s="1"/>
  <c r="S78" i="3" s="1"/>
  <c r="S79" i="3" s="1"/>
  <c r="S80" i="3" s="1"/>
  <c r="S81" i="3" s="1"/>
  <c r="S82" i="3" s="1"/>
  <c r="S83" i="3" s="1"/>
  <c r="S84" i="3" s="1"/>
  <c r="S85" i="3" s="1"/>
  <c r="S86" i="3" s="1"/>
  <c r="S87" i="3" s="1"/>
  <c r="S88" i="3" s="1"/>
  <c r="S89" i="3" s="1"/>
  <c r="S90" i="3" s="1"/>
  <c r="S91" i="3" s="1"/>
  <c r="S92" i="3" s="1"/>
  <c r="S93" i="3" s="1"/>
  <c r="S94" i="3" s="1"/>
  <c r="S95" i="3" s="1"/>
  <c r="S96" i="3" s="1"/>
  <c r="S97" i="3" s="1"/>
  <c r="S98" i="3" s="1"/>
  <c r="S99" i="3" s="1"/>
  <c r="S100" i="3" s="1"/>
  <c r="S101" i="3" s="1"/>
  <c r="S102" i="3" s="1"/>
  <c r="S103" i="3" s="1"/>
  <c r="S104" i="3" s="1"/>
  <c r="S105" i="3" s="1"/>
  <c r="S106" i="3" s="1"/>
  <c r="S107" i="3" s="1"/>
  <c r="S108" i="3" s="1"/>
  <c r="S109" i="3" s="1"/>
  <c r="S110" i="3" s="1"/>
  <c r="S111" i="3" s="1"/>
  <c r="S112" i="3" s="1"/>
  <c r="S113" i="3" s="1"/>
  <c r="S114" i="3" s="1"/>
  <c r="S115" i="3" s="1"/>
  <c r="S116" i="3" s="1"/>
  <c r="S117" i="3" s="1"/>
  <c r="S118" i="3" s="1"/>
  <c r="S119" i="3" s="1"/>
  <c r="S120" i="3" s="1"/>
  <c r="S121" i="3" s="1"/>
  <c r="S122" i="3" s="1"/>
  <c r="S123" i="3" s="1"/>
  <c r="S124" i="3" s="1"/>
  <c r="S125" i="3" s="1"/>
  <c r="S126" i="3" s="1"/>
  <c r="S127" i="3" s="1"/>
  <c r="S128" i="3" s="1"/>
  <c r="S129" i="3" s="1"/>
  <c r="S130" i="3" s="1"/>
  <c r="S131" i="3" s="1"/>
  <c r="S132" i="3" s="1"/>
  <c r="S133" i="3" s="1"/>
  <c r="S134" i="3" s="1"/>
  <c r="S135" i="3" s="1"/>
  <c r="S136" i="3" s="1"/>
  <c r="S137" i="3" s="1"/>
  <c r="S138" i="3" s="1"/>
  <c r="S139" i="3" s="1"/>
  <c r="S140" i="3" s="1"/>
  <c r="S141" i="3" s="1"/>
  <c r="S142" i="3" s="1"/>
  <c r="S143" i="3" s="1"/>
  <c r="S144" i="3" s="1"/>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R2" i="3"/>
  <c r="AR3" i="3"/>
  <c r="AR4" i="3"/>
  <c r="AR5" i="3"/>
  <c r="AR6" i="3"/>
  <c r="AR7" i="3"/>
  <c r="AR8" i="3"/>
  <c r="AR9" i="3"/>
  <c r="AR10" i="3"/>
  <c r="AR11" i="3"/>
  <c r="AR12" i="3"/>
  <c r="AR13" i="3"/>
  <c r="AR14" i="3"/>
  <c r="AR15" i="3"/>
  <c r="AR16" i="3"/>
  <c r="AR17" i="3"/>
  <c r="AR18" i="3"/>
  <c r="AR19" i="3"/>
  <c r="AR20" i="3"/>
  <c r="AR21" i="3"/>
  <c r="AR22" i="3"/>
  <c r="AR23" i="3"/>
  <c r="AR24" i="3"/>
  <c r="AR25" i="3"/>
  <c r="AR26" i="3"/>
  <c r="AR27" i="3"/>
  <c r="AR28" i="3"/>
  <c r="AR29" i="3"/>
  <c r="AR30" i="3"/>
  <c r="AR31" i="3"/>
  <c r="AR32" i="3"/>
  <c r="AR33" i="3"/>
  <c r="AR34" i="3"/>
  <c r="AR35" i="3"/>
  <c r="AR36" i="3"/>
  <c r="AR37" i="3"/>
  <c r="AR38" i="3"/>
  <c r="AR39" i="3"/>
  <c r="AR40" i="3"/>
  <c r="AR41" i="3"/>
  <c r="AR42" i="3"/>
  <c r="AR43" i="3"/>
  <c r="AR44" i="3"/>
  <c r="AR45" i="3"/>
  <c r="AR46" i="3"/>
  <c r="AR47" i="3"/>
  <c r="AR48" i="3"/>
  <c r="AR49" i="3"/>
  <c r="AR50" i="3"/>
  <c r="AR51" i="3"/>
  <c r="AR52" i="3"/>
  <c r="AR53" i="3"/>
  <c r="AR54" i="3"/>
  <c r="AR55" i="3"/>
  <c r="AR56" i="3"/>
  <c r="AR57" i="3"/>
  <c r="AR58" i="3"/>
  <c r="AR59" i="3"/>
  <c r="AR60" i="3"/>
  <c r="AR61" i="3"/>
  <c r="AR62" i="3"/>
  <c r="AR63"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U2" i="3"/>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AU76" i="3"/>
  <c r="AU77" i="3"/>
  <c r="AU78" i="3"/>
  <c r="AU79" i="3"/>
  <c r="AU80" i="3"/>
  <c r="AU81" i="3"/>
  <c r="AU82" i="3"/>
  <c r="AU83" i="3"/>
  <c r="AU84" i="3"/>
  <c r="AU85" i="3"/>
  <c r="AU86" i="3"/>
  <c r="AU87" i="3"/>
  <c r="AU88" i="3"/>
  <c r="AU89" i="3"/>
  <c r="AU90" i="3"/>
  <c r="AU91" i="3"/>
  <c r="AU92" i="3"/>
  <c r="AU93" i="3"/>
  <c r="AU94" i="3"/>
  <c r="AU95" i="3"/>
  <c r="AU96" i="3"/>
  <c r="AU97" i="3"/>
  <c r="AU98" i="3"/>
  <c r="AU99" i="3"/>
  <c r="AU100" i="3"/>
  <c r="AU101" i="3"/>
  <c r="AU102" i="3"/>
  <c r="AU103" i="3"/>
  <c r="AU104" i="3"/>
  <c r="AU105" i="3"/>
  <c r="AU106" i="3"/>
  <c r="AU107" i="3"/>
  <c r="AU108" i="3"/>
  <c r="AU109" i="3"/>
  <c r="AU110" i="3"/>
  <c r="AU111" i="3"/>
  <c r="AU112" i="3"/>
  <c r="AU113" i="3"/>
  <c r="AU114" i="3"/>
  <c r="AU115" i="3"/>
  <c r="AU116" i="3"/>
  <c r="AU117" i="3"/>
  <c r="AU118" i="3"/>
  <c r="AU119" i="3"/>
  <c r="AU120" i="3"/>
  <c r="AU121" i="3"/>
  <c r="AU122" i="3"/>
  <c r="AU123" i="3"/>
  <c r="AU124" i="3"/>
  <c r="AU125" i="3"/>
  <c r="AU126" i="3"/>
  <c r="AU127" i="3"/>
  <c r="AU128" i="3"/>
  <c r="AU129" i="3"/>
  <c r="AU130" i="3"/>
  <c r="AU131" i="3"/>
  <c r="AU132" i="3"/>
  <c r="AU133" i="3"/>
  <c r="AU134" i="3"/>
  <c r="AU135" i="3"/>
  <c r="AU136" i="3"/>
  <c r="AU137" i="3"/>
  <c r="AU138" i="3"/>
  <c r="AU139" i="3"/>
  <c r="AU140" i="3"/>
  <c r="AU141" i="3"/>
  <c r="AU142" i="3"/>
  <c r="AU143" i="3"/>
  <c r="AU144" i="3"/>
  <c r="P774" i="6"/>
  <c r="A2" i="6"/>
  <c r="A3" i="6" s="1"/>
  <c r="A4" i="6"/>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A593" i="6" s="1"/>
  <c r="A594" i="6" s="1"/>
  <c r="A595" i="6" s="1"/>
  <c r="A596" i="6" s="1"/>
  <c r="A597" i="6" s="1"/>
  <c r="A598" i="6" s="1"/>
  <c r="A599" i="6" s="1"/>
  <c r="A600" i="6" s="1"/>
  <c r="A601" i="6" s="1"/>
  <c r="A602" i="6" s="1"/>
  <c r="A603" i="6" s="1"/>
  <c r="A604" i="6" s="1"/>
  <c r="A605" i="6" s="1"/>
  <c r="A606" i="6" s="1"/>
  <c r="A607" i="6" s="1"/>
  <c r="A608" i="6" s="1"/>
  <c r="A609" i="6" s="1"/>
  <c r="A610" i="6" s="1"/>
  <c r="A611" i="6" s="1"/>
  <c r="A612" i="6" s="1"/>
  <c r="A613" i="6" s="1"/>
  <c r="A614" i="6" s="1"/>
  <c r="A615" i="6" s="1"/>
  <c r="A616" i="6" s="1"/>
  <c r="A617" i="6" s="1"/>
  <c r="A618" i="6" s="1"/>
  <c r="A619" i="6" s="1"/>
  <c r="A620" i="6" s="1"/>
  <c r="A621" i="6" s="1"/>
  <c r="A622" i="6" s="1"/>
  <c r="A623" i="6" s="1"/>
  <c r="A624" i="6" s="1"/>
  <c r="A625" i="6" s="1"/>
  <c r="A626" i="6" s="1"/>
  <c r="A627" i="6" s="1"/>
  <c r="A628" i="6" s="1"/>
  <c r="A629" i="6" s="1"/>
  <c r="A630" i="6" s="1"/>
  <c r="A631" i="6" s="1"/>
  <c r="A632" i="6" s="1"/>
  <c r="A633" i="6" s="1"/>
  <c r="A634" i="6" s="1"/>
  <c r="A635" i="6" s="1"/>
  <c r="A636" i="6" s="1"/>
  <c r="A637" i="6" s="1"/>
  <c r="A638" i="6" s="1"/>
  <c r="A639" i="6" s="1"/>
  <c r="A640" i="6" s="1"/>
  <c r="A641" i="6" s="1"/>
  <c r="A642" i="6" s="1"/>
  <c r="A643" i="6" s="1"/>
  <c r="A644" i="6" s="1"/>
  <c r="A645" i="6" s="1"/>
  <c r="A646" i="6" s="1"/>
  <c r="A647" i="6" s="1"/>
  <c r="A648" i="6" s="1"/>
  <c r="A649" i="6" s="1"/>
  <c r="A650" i="6" s="1"/>
  <c r="A651" i="6" s="1"/>
  <c r="A652" i="6" s="1"/>
  <c r="A653" i="6" s="1"/>
  <c r="A654" i="6" s="1"/>
  <c r="A655" i="6" s="1"/>
  <c r="A656" i="6" s="1"/>
  <c r="A657" i="6" s="1"/>
  <c r="A658" i="6" s="1"/>
  <c r="A659" i="6" s="1"/>
  <c r="A660" i="6" s="1"/>
  <c r="A661" i="6" s="1"/>
  <c r="A662" i="6" s="1"/>
  <c r="A663" i="6" s="1"/>
  <c r="A664" i="6" s="1"/>
  <c r="A665" i="6" s="1"/>
  <c r="A666" i="6" s="1"/>
  <c r="A667" i="6" s="1"/>
  <c r="A668" i="6" s="1"/>
  <c r="A669" i="6" s="1"/>
  <c r="A670" i="6" s="1"/>
  <c r="A671" i="6" s="1"/>
  <c r="A672" i="6" s="1"/>
  <c r="A673" i="6" s="1"/>
  <c r="A674" i="6" s="1"/>
  <c r="A675" i="6" s="1"/>
  <c r="A676" i="6" s="1"/>
  <c r="A677" i="6" s="1"/>
  <c r="A678" i="6" s="1"/>
  <c r="A679" i="6" s="1"/>
  <c r="A680" i="6" s="1"/>
  <c r="A681" i="6" s="1"/>
  <c r="A682" i="6" s="1"/>
  <c r="A683" i="6" s="1"/>
  <c r="A684" i="6" s="1"/>
  <c r="A685" i="6" s="1"/>
  <c r="A686" i="6" s="1"/>
  <c r="A687" i="6" s="1"/>
  <c r="A688" i="6" s="1"/>
  <c r="A689" i="6" s="1"/>
  <c r="A690" i="6" s="1"/>
  <c r="A691" i="6" s="1"/>
  <c r="A692" i="6" s="1"/>
  <c r="A693" i="6" s="1"/>
  <c r="A694" i="6" s="1"/>
  <c r="A695" i="6" s="1"/>
  <c r="A696" i="6" s="1"/>
  <c r="A697" i="6" s="1"/>
  <c r="A698" i="6" s="1"/>
  <c r="A699" i="6" s="1"/>
  <c r="A700" i="6" s="1"/>
  <c r="A701" i="6" s="1"/>
  <c r="A702" i="6" s="1"/>
  <c r="A703" i="6" s="1"/>
  <c r="A704" i="6" s="1"/>
  <c r="A705" i="6" s="1"/>
  <c r="A706" i="6" s="1"/>
  <c r="A707" i="6" s="1"/>
  <c r="A708" i="6" s="1"/>
  <c r="A709" i="6" s="1"/>
  <c r="A710" i="6" s="1"/>
  <c r="A711" i="6" s="1"/>
  <c r="A712" i="6" s="1"/>
  <c r="A713" i="6" s="1"/>
  <c r="A714" i="6" s="1"/>
  <c r="A715" i="6" s="1"/>
  <c r="A716" i="6" s="1"/>
  <c r="A717" i="6" s="1"/>
  <c r="A718" i="6" s="1"/>
  <c r="A719" i="6" s="1"/>
  <c r="A720" i="6" s="1"/>
  <c r="A721" i="6" s="1"/>
  <c r="A722" i="6" s="1"/>
  <c r="A723" i="6" s="1"/>
  <c r="A724" i="6" s="1"/>
  <c r="A725" i="6" s="1"/>
  <c r="A726" i="6" s="1"/>
  <c r="A727" i="6" s="1"/>
  <c r="A728" i="6" s="1"/>
  <c r="A729" i="6" s="1"/>
  <c r="A730" i="6" s="1"/>
  <c r="A731" i="6" s="1"/>
  <c r="A732" i="6" s="1"/>
  <c r="A733" i="6" s="1"/>
  <c r="A734" i="6" s="1"/>
  <c r="A735" i="6" s="1"/>
  <c r="A736" i="6" s="1"/>
  <c r="A737" i="6" s="1"/>
  <c r="A738" i="6" s="1"/>
  <c r="A739" i="6" s="1"/>
  <c r="A740" i="6" s="1"/>
  <c r="A741" i="6" s="1"/>
  <c r="A742" i="6" s="1"/>
  <c r="A743" i="6" s="1"/>
  <c r="A744" i="6" s="1"/>
  <c r="A745" i="6" s="1"/>
  <c r="A746" i="6" s="1"/>
  <c r="A747" i="6" s="1"/>
  <c r="A748" i="6" s="1"/>
  <c r="A749" i="6" s="1"/>
  <c r="A750" i="6" s="1"/>
  <c r="A751" i="6" s="1"/>
  <c r="A752" i="6" s="1"/>
  <c r="A753" i="6" s="1"/>
  <c r="A754" i="6" s="1"/>
  <c r="A755" i="6" s="1"/>
  <c r="A756" i="6" s="1"/>
  <c r="A757" i="6" s="1"/>
  <c r="A758" i="6" s="1"/>
  <c r="A759" i="6" s="1"/>
  <c r="A760" i="6" s="1"/>
  <c r="A761" i="6" s="1"/>
  <c r="A762" i="6" s="1"/>
  <c r="A763" i="6" s="1"/>
  <c r="A764" i="6" s="1"/>
  <c r="A765" i="6" s="1"/>
  <c r="A766" i="6" s="1"/>
  <c r="A767" i="6" s="1"/>
  <c r="A768" i="6" s="1"/>
  <c r="A769" i="6" s="1"/>
  <c r="A770" i="6" s="1"/>
  <c r="A771" i="6" s="1"/>
  <c r="A772" i="6" s="1"/>
  <c r="A773"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M715" i="6"/>
  <c r="M716" i="6"/>
  <c r="M717" i="6"/>
  <c r="M718" i="6"/>
  <c r="M719" i="6"/>
  <c r="M720" i="6"/>
  <c r="M721" i="6"/>
  <c r="M722" i="6"/>
  <c r="M723" i="6"/>
  <c r="M724" i="6"/>
  <c r="M725" i="6"/>
  <c r="M726" i="6"/>
  <c r="M727" i="6"/>
  <c r="M728" i="6"/>
  <c r="M729" i="6"/>
  <c r="M730" i="6"/>
  <c r="M731" i="6"/>
  <c r="M732" i="6"/>
  <c r="M733" i="6"/>
  <c r="M734" i="6"/>
  <c r="M735" i="6"/>
  <c r="M736" i="6"/>
  <c r="M737" i="6"/>
  <c r="M738" i="6"/>
  <c r="M739" i="6"/>
  <c r="M740" i="6"/>
  <c r="M741" i="6"/>
  <c r="M742" i="6"/>
  <c r="M743" i="6"/>
  <c r="M744" i="6"/>
  <c r="M745" i="6"/>
  <c r="M746" i="6"/>
  <c r="M747" i="6"/>
  <c r="M748" i="6"/>
  <c r="M749" i="6"/>
  <c r="M750" i="6"/>
  <c r="M751" i="6"/>
  <c r="M752" i="6"/>
  <c r="M753" i="6"/>
  <c r="M754" i="6"/>
  <c r="M755" i="6"/>
  <c r="M756" i="6"/>
  <c r="M757" i="6"/>
  <c r="M758" i="6"/>
  <c r="M759" i="6"/>
  <c r="M760" i="6"/>
  <c r="M761" i="6"/>
  <c r="M762" i="6"/>
  <c r="M763" i="6"/>
  <c r="M764" i="6"/>
  <c r="M765" i="6"/>
  <c r="M766" i="6"/>
  <c r="M767" i="6"/>
  <c r="M768" i="6"/>
  <c r="M769" i="6"/>
  <c r="M770" i="6"/>
  <c r="M771" i="6"/>
  <c r="M772" i="6"/>
  <c r="M773"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AT134" i="10"/>
  <c r="D23" i="1" l="1"/>
  <c r="K2" i="13" l="1"/>
  <c r="M342" i="13" l="1"/>
  <c r="M354" i="13"/>
  <c r="M366" i="13"/>
  <c r="M378" i="13"/>
  <c r="M390" i="13"/>
  <c r="M402" i="13"/>
  <c r="M591" i="13"/>
  <c r="M603" i="13"/>
  <c r="M615" i="13"/>
  <c r="M627" i="13"/>
  <c r="M639" i="13"/>
  <c r="M4" i="13"/>
  <c r="M8" i="13"/>
  <c r="M12" i="13"/>
  <c r="M16" i="13"/>
  <c r="M20" i="13"/>
  <c r="M24" i="13"/>
  <c r="M28" i="13"/>
  <c r="M32" i="13"/>
  <c r="M36" i="13"/>
  <c r="M40" i="13"/>
  <c r="M44" i="13"/>
  <c r="M48" i="13"/>
  <c r="M52" i="13"/>
  <c r="M56" i="13"/>
  <c r="M60" i="13"/>
  <c r="M64" i="13"/>
  <c r="M68" i="13"/>
  <c r="M72" i="13"/>
  <c r="M76" i="13"/>
  <c r="M80" i="13"/>
  <c r="M84" i="13"/>
  <c r="M88" i="13"/>
  <c r="M92" i="13"/>
  <c r="M96" i="13"/>
  <c r="M100" i="13"/>
  <c r="M104" i="13"/>
  <c r="M108" i="13"/>
  <c r="M112" i="13"/>
  <c r="M116" i="13"/>
  <c r="M120" i="13"/>
  <c r="M124" i="13"/>
  <c r="M128" i="13"/>
  <c r="M132" i="13"/>
  <c r="M136" i="13"/>
  <c r="M140" i="13"/>
  <c r="M144" i="13"/>
  <c r="M148" i="13"/>
  <c r="M152" i="13"/>
  <c r="M156" i="13"/>
  <c r="M160" i="13"/>
  <c r="M164" i="13"/>
  <c r="M168" i="13"/>
  <c r="M172" i="13"/>
  <c r="M176" i="13"/>
  <c r="M180" i="13"/>
  <c r="M184" i="13"/>
  <c r="M188" i="13"/>
  <c r="M192" i="13"/>
  <c r="M196" i="13"/>
  <c r="M200" i="13"/>
  <c r="M204" i="13"/>
  <c r="M208" i="13"/>
  <c r="M212" i="13"/>
  <c r="M216" i="13"/>
  <c r="M220" i="13"/>
  <c r="M224" i="13"/>
  <c r="M228" i="13"/>
  <c r="M232" i="13"/>
  <c r="M236" i="13"/>
  <c r="M240" i="13"/>
  <c r="M244" i="13"/>
  <c r="M248" i="13"/>
  <c r="M252" i="13"/>
  <c r="M256" i="13"/>
  <c r="M260" i="13"/>
  <c r="M264" i="13"/>
  <c r="M268" i="13"/>
  <c r="M272" i="13"/>
  <c r="M276" i="13"/>
  <c r="M280" i="13"/>
  <c r="M284" i="13"/>
  <c r="M288" i="13"/>
  <c r="M292" i="13"/>
  <c r="M296" i="13"/>
  <c r="M300" i="13"/>
  <c r="M304" i="13"/>
  <c r="M308" i="13"/>
  <c r="M312" i="13"/>
  <c r="M316" i="13"/>
  <c r="M320" i="13"/>
  <c r="M324" i="13"/>
  <c r="M328" i="13"/>
  <c r="M332" i="13"/>
  <c r="M336" i="13"/>
  <c r="M348" i="13"/>
  <c r="M360" i="13"/>
  <c r="M372" i="13"/>
  <c r="M384" i="13"/>
  <c r="M396" i="13"/>
  <c r="M408" i="13"/>
  <c r="M420" i="13"/>
  <c r="M432" i="13"/>
  <c r="M444" i="13"/>
  <c r="M456" i="13"/>
  <c r="M468" i="13"/>
  <c r="M480" i="13"/>
  <c r="M492" i="13"/>
  <c r="M504" i="13"/>
  <c r="M516" i="13"/>
  <c r="M528" i="13"/>
  <c r="M540" i="13"/>
  <c r="M552" i="13"/>
  <c r="M564" i="13"/>
  <c r="M576" i="13"/>
  <c r="M588" i="13"/>
  <c r="M600" i="13"/>
  <c r="M612" i="13"/>
  <c r="M624" i="13"/>
  <c r="M636" i="13"/>
  <c r="M438" i="13"/>
  <c r="M486" i="13"/>
  <c r="M534" i="13"/>
  <c r="M582" i="13"/>
  <c r="M606" i="13"/>
  <c r="M630" i="13"/>
  <c r="M414" i="13"/>
  <c r="M462" i="13"/>
  <c r="M510" i="13"/>
  <c r="M558" i="13"/>
  <c r="M594" i="13"/>
  <c r="M618" i="13"/>
  <c r="M426" i="13"/>
  <c r="M522" i="13"/>
  <c r="M597" i="13"/>
  <c r="M450" i="13"/>
  <c r="M546" i="13"/>
  <c r="M474" i="13"/>
  <c r="M570" i="13"/>
  <c r="M621" i="13"/>
  <c r="M498" i="13"/>
  <c r="M633" i="13"/>
  <c r="M609" i="13"/>
  <c r="M2" i="13"/>
  <c r="Y7" i="13" l="1"/>
  <c r="Y11" i="13"/>
  <c r="Y15" i="13"/>
  <c r="Y19" i="13"/>
  <c r="Y23" i="13"/>
  <c r="Y27" i="13"/>
  <c r="Y31" i="13"/>
  <c r="Y35" i="13"/>
  <c r="Y39" i="13"/>
  <c r="Y43" i="13"/>
  <c r="Y47" i="13"/>
  <c r="Y51" i="13"/>
  <c r="Y55" i="13"/>
  <c r="Y59" i="13"/>
  <c r="Y63" i="13"/>
  <c r="Y67" i="13"/>
  <c r="Y71" i="13"/>
  <c r="Y75" i="13"/>
  <c r="Y79" i="13"/>
  <c r="Y83" i="13"/>
  <c r="Y87" i="13"/>
  <c r="Y91" i="13"/>
  <c r="Y95" i="13"/>
  <c r="Y99" i="13"/>
  <c r="Y103" i="13"/>
  <c r="Y107" i="13"/>
  <c r="Y111" i="13"/>
  <c r="Y115" i="13"/>
  <c r="Y119" i="13"/>
  <c r="Y123" i="13"/>
  <c r="Y127" i="13"/>
  <c r="Y131" i="13"/>
  <c r="Y135" i="13"/>
  <c r="Y139" i="13"/>
  <c r="Y143" i="13"/>
  <c r="Y147" i="13"/>
  <c r="Y151" i="13"/>
  <c r="Y155" i="13"/>
  <c r="Y159" i="13"/>
  <c r="Y163" i="13"/>
  <c r="Y167" i="13"/>
  <c r="Y171" i="13"/>
  <c r="Y175" i="13"/>
  <c r="Y179" i="13"/>
  <c r="Y183" i="13"/>
  <c r="Y187" i="13"/>
  <c r="Y191" i="13"/>
  <c r="Y195" i="13"/>
  <c r="Y199" i="13"/>
  <c r="Y203" i="13"/>
  <c r="Y207" i="13"/>
  <c r="Y211" i="13"/>
  <c r="Y215" i="13"/>
  <c r="Y219" i="13"/>
  <c r="Y223" i="13"/>
  <c r="Y227" i="13"/>
  <c r="Y231" i="13"/>
  <c r="Y235" i="13"/>
  <c r="Y239" i="13"/>
  <c r="Y243" i="13"/>
  <c r="Y247" i="13"/>
  <c r="Y251" i="13"/>
  <c r="Y255" i="13"/>
  <c r="Y259" i="13"/>
  <c r="Y263" i="13"/>
  <c r="Y267" i="13"/>
  <c r="Y271" i="13"/>
  <c r="Y275" i="13"/>
  <c r="Y279" i="13"/>
  <c r="Y283" i="13"/>
  <c r="Y287" i="13"/>
  <c r="Y291" i="13"/>
  <c r="Y295" i="13"/>
  <c r="Y299" i="13"/>
  <c r="Y303" i="13"/>
  <c r="Y307" i="13"/>
  <c r="Y311" i="13"/>
  <c r="Y315" i="13"/>
  <c r="Y319" i="13"/>
  <c r="Y323" i="13"/>
  <c r="Y327" i="13"/>
  <c r="Y331" i="13"/>
  <c r="Y335" i="13"/>
  <c r="Y339" i="13"/>
  <c r="Y343" i="13"/>
  <c r="Y347" i="13"/>
  <c r="Y351" i="13"/>
  <c r="Y355" i="13"/>
  <c r="Y359" i="13"/>
  <c r="Y363" i="13"/>
  <c r="Y367" i="13"/>
  <c r="Y371" i="13"/>
  <c r="Y375" i="13"/>
  <c r="Y379" i="13"/>
  <c r="Y383" i="13"/>
  <c r="Y387" i="13"/>
  <c r="Y391" i="13"/>
  <c r="Y395" i="13"/>
  <c r="Y399" i="13"/>
  <c r="Y403" i="13"/>
  <c r="Y407" i="13"/>
  <c r="Y411" i="13"/>
  <c r="Y415" i="13"/>
  <c r="Y419" i="13"/>
  <c r="Y423" i="13"/>
  <c r="Y427" i="13"/>
  <c r="Y431" i="13"/>
  <c r="Y435" i="13"/>
  <c r="Y439" i="13"/>
  <c r="Y443" i="13"/>
  <c r="Y447" i="13"/>
  <c r="Y451" i="13"/>
  <c r="Y455" i="13"/>
  <c r="Y459" i="13"/>
  <c r="Y463" i="13"/>
  <c r="Y467" i="13"/>
  <c r="Y471" i="13"/>
  <c r="Y475" i="13"/>
  <c r="Y479" i="13"/>
  <c r="Y483" i="13"/>
  <c r="Y487" i="13"/>
  <c r="Y491" i="13"/>
  <c r="Y495" i="13"/>
  <c r="Y499" i="13"/>
  <c r="Y4" i="13"/>
  <c r="Y9" i="13"/>
  <c r="Y14" i="13"/>
  <c r="Y20" i="13"/>
  <c r="Y25" i="13"/>
  <c r="Y30" i="13"/>
  <c r="Y36" i="13"/>
  <c r="Y41" i="13"/>
  <c r="Y46" i="13"/>
  <c r="Y52" i="13"/>
  <c r="Y57" i="13"/>
  <c r="Y62" i="13"/>
  <c r="Y68" i="13"/>
  <c r="Y73" i="13"/>
  <c r="Y78" i="13"/>
  <c r="Y84" i="13"/>
  <c r="Y89" i="13"/>
  <c r="Y94" i="13"/>
  <c r="Y100" i="13"/>
  <c r="Y105" i="13"/>
  <c r="Y110" i="13"/>
  <c r="Y116" i="13"/>
  <c r="Y121" i="13"/>
  <c r="Y126" i="13"/>
  <c r="Y132" i="13"/>
  <c r="Y137" i="13"/>
  <c r="Y142" i="13"/>
  <c r="Y148" i="13"/>
  <c r="Y153" i="13"/>
  <c r="Y158" i="13"/>
  <c r="Y164" i="13"/>
  <c r="Y169" i="13"/>
  <c r="Y174" i="13"/>
  <c r="Y180" i="13"/>
  <c r="Y185" i="13"/>
  <c r="Y190" i="13"/>
  <c r="Y196" i="13"/>
  <c r="Y201" i="13"/>
  <c r="Y206" i="13"/>
  <c r="Y212" i="13"/>
  <c r="Y217" i="13"/>
  <c r="Y222" i="13"/>
  <c r="Y228" i="13"/>
  <c r="Y233" i="13"/>
  <c r="Y238" i="13"/>
  <c r="Y244" i="13"/>
  <c r="Y249" i="13"/>
  <c r="Y254" i="13"/>
  <c r="Y260" i="13"/>
  <c r="Y265" i="13"/>
  <c r="Y270" i="13"/>
  <c r="Y276" i="13"/>
  <c r="Y281" i="13"/>
  <c r="Y286" i="13"/>
  <c r="Y292" i="13"/>
  <c r="Y297" i="13"/>
  <c r="Y302" i="13"/>
  <c r="Y308" i="13"/>
  <c r="Y313" i="13"/>
  <c r="Y318" i="13"/>
  <c r="Y324" i="13"/>
  <c r="Y329" i="13"/>
  <c r="Y334" i="13"/>
  <c r="Y340" i="13"/>
  <c r="Y345" i="13"/>
  <c r="Y350" i="13"/>
  <c r="Y356" i="13"/>
  <c r="Y361" i="13"/>
  <c r="Y366" i="13"/>
  <c r="Y372" i="13"/>
  <c r="Y377" i="13"/>
  <c r="Y382" i="13"/>
  <c r="Y388" i="13"/>
  <c r="Y393" i="13"/>
  <c r="Y398" i="13"/>
  <c r="Y404" i="13"/>
  <c r="Y409" i="13"/>
  <c r="Y414" i="13"/>
  <c r="Y420" i="13"/>
  <c r="Y5" i="13"/>
  <c r="Y12" i="13"/>
  <c r="Y18" i="13"/>
  <c r="Y26" i="13"/>
  <c r="Y33" i="13"/>
  <c r="Y40" i="13"/>
  <c r="Y48" i="13"/>
  <c r="Y54" i="13"/>
  <c r="Y61" i="13"/>
  <c r="Y69" i="13"/>
  <c r="Y76" i="13"/>
  <c r="Y82" i="13"/>
  <c r="Y90" i="13"/>
  <c r="Y97" i="13"/>
  <c r="Y104" i="13"/>
  <c r="Y112" i="13"/>
  <c r="Y118" i="13"/>
  <c r="Y125" i="13"/>
  <c r="Y133" i="13"/>
  <c r="Y140" i="13"/>
  <c r="Y146" i="13"/>
  <c r="Y154" i="13"/>
  <c r="Y161" i="13"/>
  <c r="Y168" i="13"/>
  <c r="Y176" i="13"/>
  <c r="Y182" i="13"/>
  <c r="Y189" i="13"/>
  <c r="Y197" i="13"/>
  <c r="Y204" i="13"/>
  <c r="Y210" i="13"/>
  <c r="Y218" i="13"/>
  <c r="Y225" i="13"/>
  <c r="Y232" i="13"/>
  <c r="Y240" i="13"/>
  <c r="Y246" i="13"/>
  <c r="Y253" i="13"/>
  <c r="Y261" i="13"/>
  <c r="Y268" i="13"/>
  <c r="Y274" i="13"/>
  <c r="Y282" i="13"/>
  <c r="Y289" i="13"/>
  <c r="Y296" i="13"/>
  <c r="Y304" i="13"/>
  <c r="Y310" i="13"/>
  <c r="Y317" i="13"/>
  <c r="Y325" i="13"/>
  <c r="Y332" i="13"/>
  <c r="Y338" i="13"/>
  <c r="Y346" i="13"/>
  <c r="Y353" i="13"/>
  <c r="Y360" i="13"/>
  <c r="Y368" i="13"/>
  <c r="Y374" i="13"/>
  <c r="Y381" i="13"/>
  <c r="Y389" i="13"/>
  <c r="Y396" i="13"/>
  <c r="Y402" i="13"/>
  <c r="Y410" i="13"/>
  <c r="Y417" i="13"/>
  <c r="Y424" i="13"/>
  <c r="Y429" i="13"/>
  <c r="Y434" i="13"/>
  <c r="Y440" i="13"/>
  <c r="Y445" i="13"/>
  <c r="Y450" i="13"/>
  <c r="Y456" i="13"/>
  <c r="Y461" i="13"/>
  <c r="Y466" i="13"/>
  <c r="Y472" i="13"/>
  <c r="Y477" i="13"/>
  <c r="Y482" i="13"/>
  <c r="Y488" i="13"/>
  <c r="Y493" i="13"/>
  <c r="Y498" i="13"/>
  <c r="Y503" i="13"/>
  <c r="Y507" i="13"/>
  <c r="Y511" i="13"/>
  <c r="Y515" i="13"/>
  <c r="Y519" i="13"/>
  <c r="Y523" i="13"/>
  <c r="Y527" i="13"/>
  <c r="Y531" i="13"/>
  <c r="Y535" i="13"/>
  <c r="Y539" i="13"/>
  <c r="Y543" i="13"/>
  <c r="Y547" i="13"/>
  <c r="Y551" i="13"/>
  <c r="Y555" i="13"/>
  <c r="Y559" i="13"/>
  <c r="Y563" i="13"/>
  <c r="Y567" i="13"/>
  <c r="Y571" i="13"/>
  <c r="Y575" i="13"/>
  <c r="Y579" i="13"/>
  <c r="Y583" i="13"/>
  <c r="Y587" i="13"/>
  <c r="Y591" i="13"/>
  <c r="Y595" i="13"/>
  <c r="Y599" i="13"/>
  <c r="Y603" i="13"/>
  <c r="Y607" i="13"/>
  <c r="Y611" i="13"/>
  <c r="Y615" i="13"/>
  <c r="Y619" i="13"/>
  <c r="Y623" i="13"/>
  <c r="Y627" i="13"/>
  <c r="Y631" i="13"/>
  <c r="Y635" i="13"/>
  <c r="Y639" i="13"/>
  <c r="Y6" i="13"/>
  <c r="Y21" i="13"/>
  <c r="Y28" i="13"/>
  <c r="Y49" i="13"/>
  <c r="Y70" i="13"/>
  <c r="Y92" i="13"/>
  <c r="Y120" i="13"/>
  <c r="Y141" i="13"/>
  <c r="Y162" i="13"/>
  <c r="Y192" i="13"/>
  <c r="Y213" i="13"/>
  <c r="Y234" i="13"/>
  <c r="Y256" i="13"/>
  <c r="Y277" i="13"/>
  <c r="Y298" i="13"/>
  <c r="Y320" i="13"/>
  <c r="Y341" i="13"/>
  <c r="Y369" i="13"/>
  <c r="Y397" i="13"/>
  <c r="Y418" i="13"/>
  <c r="Y436" i="13"/>
  <c r="Y452" i="13"/>
  <c r="Y473" i="13"/>
  <c r="Y494" i="13"/>
  <c r="Y504" i="13"/>
  <c r="Y516" i="13"/>
  <c r="Y532" i="13"/>
  <c r="Y544" i="13"/>
  <c r="Y556" i="13"/>
  <c r="Y568" i="13"/>
  <c r="Y580" i="13"/>
  <c r="Y592" i="13"/>
  <c r="Y604" i="13"/>
  <c r="Y616" i="13"/>
  <c r="Y628" i="13"/>
  <c r="Y8" i="13"/>
  <c r="Y16" i="13"/>
  <c r="Y22" i="13"/>
  <c r="Y29" i="13"/>
  <c r="Y37" i="13"/>
  <c r="Y44" i="13"/>
  <c r="Y50" i="13"/>
  <c r="Y58" i="13"/>
  <c r="Y65" i="13"/>
  <c r="Y72" i="13"/>
  <c r="Y80" i="13"/>
  <c r="Y86" i="13"/>
  <c r="Y93" i="13"/>
  <c r="Y101" i="13"/>
  <c r="Y108" i="13"/>
  <c r="Y114" i="13"/>
  <c r="Y122" i="13"/>
  <c r="Y129" i="13"/>
  <c r="Y136" i="13"/>
  <c r="Y144" i="13"/>
  <c r="Y150" i="13"/>
  <c r="Y157" i="13"/>
  <c r="Y165" i="13"/>
  <c r="Y172" i="13"/>
  <c r="Y178" i="13"/>
  <c r="Y186" i="13"/>
  <c r="Y193" i="13"/>
  <c r="Y200" i="13"/>
  <c r="Y208" i="13"/>
  <c r="Y214" i="13"/>
  <c r="Y221" i="13"/>
  <c r="Y229" i="13"/>
  <c r="Y236" i="13"/>
  <c r="Y242" i="13"/>
  <c r="Y250" i="13"/>
  <c r="Y257" i="13"/>
  <c r="Y264" i="13"/>
  <c r="Y272" i="13"/>
  <c r="Y278" i="13"/>
  <c r="Y285" i="13"/>
  <c r="Y293" i="13"/>
  <c r="Y300" i="13"/>
  <c r="Y306" i="13"/>
  <c r="Y314" i="13"/>
  <c r="Y321" i="13"/>
  <c r="Y328" i="13"/>
  <c r="Y336" i="13"/>
  <c r="Y342" i="13"/>
  <c r="Y349" i="13"/>
  <c r="Y357" i="13"/>
  <c r="Y364" i="13"/>
  <c r="Y370" i="13"/>
  <c r="Y378" i="13"/>
  <c r="Y385" i="13"/>
  <c r="Y392" i="13"/>
  <c r="Y400" i="13"/>
  <c r="Y406" i="13"/>
  <c r="Y413" i="13"/>
  <c r="Y421" i="13"/>
  <c r="Y426" i="13"/>
  <c r="Y432" i="13"/>
  <c r="Y437" i="13"/>
  <c r="Y442" i="13"/>
  <c r="Y448" i="13"/>
  <c r="Y453" i="13"/>
  <c r="Y458" i="13"/>
  <c r="Y464" i="13"/>
  <c r="Y469" i="13"/>
  <c r="Y474" i="13"/>
  <c r="Y480" i="13"/>
  <c r="Y485" i="13"/>
  <c r="Y490" i="13"/>
  <c r="Y496" i="13"/>
  <c r="Y501" i="13"/>
  <c r="Y505" i="13"/>
  <c r="Y509" i="13"/>
  <c r="Y513" i="13"/>
  <c r="Y517" i="13"/>
  <c r="Y521" i="13"/>
  <c r="Y525" i="13"/>
  <c r="Y529" i="13"/>
  <c r="Y533" i="13"/>
  <c r="Y537" i="13"/>
  <c r="Y541" i="13"/>
  <c r="Y545" i="13"/>
  <c r="Y549" i="13"/>
  <c r="Y553" i="13"/>
  <c r="Y557" i="13"/>
  <c r="Y561" i="13"/>
  <c r="Y565" i="13"/>
  <c r="Y569" i="13"/>
  <c r="Y573" i="13"/>
  <c r="Y577" i="13"/>
  <c r="Y581" i="13"/>
  <c r="Y585" i="13"/>
  <c r="Y589" i="13"/>
  <c r="Y593" i="13"/>
  <c r="Y597" i="13"/>
  <c r="Y601" i="13"/>
  <c r="Y605" i="13"/>
  <c r="Y609" i="13"/>
  <c r="Y613" i="13"/>
  <c r="Y617" i="13"/>
  <c r="Y621" i="13"/>
  <c r="Y625" i="13"/>
  <c r="Y629" i="13"/>
  <c r="Y633" i="13"/>
  <c r="Y637" i="13"/>
  <c r="Y641" i="13"/>
  <c r="Y13" i="13"/>
  <c r="Y34" i="13"/>
  <c r="Y56" i="13"/>
  <c r="Y77" i="13"/>
  <c r="Y98" i="13"/>
  <c r="Y113" i="13"/>
  <c r="Y134" i="13"/>
  <c r="Y156" i="13"/>
  <c r="Y177" i="13"/>
  <c r="Y198" i="13"/>
  <c r="Y220" i="13"/>
  <c r="Y241" i="13"/>
  <c r="Y262" i="13"/>
  <c r="Y284" i="13"/>
  <c r="Y305" i="13"/>
  <c r="Y326" i="13"/>
  <c r="Y354" i="13"/>
  <c r="Y376" i="13"/>
  <c r="Y390" i="13"/>
  <c r="Y412" i="13"/>
  <c r="Y430" i="13"/>
  <c r="Y446" i="13"/>
  <c r="Y462" i="13"/>
  <c r="Y478" i="13"/>
  <c r="Y489" i="13"/>
  <c r="Y508" i="13"/>
  <c r="Y520" i="13"/>
  <c r="Y528" i="13"/>
  <c r="Y540" i="13"/>
  <c r="Y552" i="13"/>
  <c r="Y560" i="13"/>
  <c r="Y572" i="13"/>
  <c r="Y584" i="13"/>
  <c r="Y596" i="13"/>
  <c r="Y608" i="13"/>
  <c r="Y620" i="13"/>
  <c r="Y632" i="13"/>
  <c r="Y640" i="13"/>
  <c r="Y10" i="13"/>
  <c r="Y17" i="13"/>
  <c r="Y24" i="13"/>
  <c r="Y32" i="13"/>
  <c r="Y38" i="13"/>
  <c r="Y45" i="13"/>
  <c r="Y53" i="13"/>
  <c r="Y60" i="13"/>
  <c r="Y66" i="13"/>
  <c r="Y74" i="13"/>
  <c r="Y81" i="13"/>
  <c r="Y88" i="13"/>
  <c r="Y96" i="13"/>
  <c r="Y102" i="13"/>
  <c r="Y109" i="13"/>
  <c r="Y117" i="13"/>
  <c r="Y124" i="13"/>
  <c r="Y130" i="13"/>
  <c r="Y138" i="13"/>
  <c r="Y145" i="13"/>
  <c r="Y152" i="13"/>
  <c r="Y160" i="13"/>
  <c r="Y166" i="13"/>
  <c r="Y173" i="13"/>
  <c r="Y181" i="13"/>
  <c r="Y188" i="13"/>
  <c r="Y194" i="13"/>
  <c r="Y202" i="13"/>
  <c r="Y209" i="13"/>
  <c r="Y216" i="13"/>
  <c r="Y224" i="13"/>
  <c r="Y230" i="13"/>
  <c r="Y237" i="13"/>
  <c r="Y245" i="13"/>
  <c r="Y252" i="13"/>
  <c r="Y258" i="13"/>
  <c r="Y266" i="13"/>
  <c r="Y273" i="13"/>
  <c r="Y280" i="13"/>
  <c r="Y288" i="13"/>
  <c r="Y294" i="13"/>
  <c r="Y301" i="13"/>
  <c r="Y309" i="13"/>
  <c r="Y316" i="13"/>
  <c r="Y322" i="13"/>
  <c r="Y330" i="13"/>
  <c r="Y337" i="13"/>
  <c r="Y344" i="13"/>
  <c r="Y352" i="13"/>
  <c r="Y358" i="13"/>
  <c r="Y365" i="13"/>
  <c r="Y373" i="13"/>
  <c r="Y380" i="13"/>
  <c r="Y386" i="13"/>
  <c r="Y394" i="13"/>
  <c r="Y401" i="13"/>
  <c r="Y408" i="13"/>
  <c r="Y416" i="13"/>
  <c r="Y422" i="13"/>
  <c r="Y428" i="13"/>
  <c r="Y433" i="13"/>
  <c r="Y438" i="13"/>
  <c r="Y444" i="13"/>
  <c r="Y449" i="13"/>
  <c r="Y454" i="13"/>
  <c r="Y460" i="13"/>
  <c r="Y465" i="13"/>
  <c r="Y470" i="13"/>
  <c r="Y476" i="13"/>
  <c r="Y481" i="13"/>
  <c r="Y486" i="13"/>
  <c r="Y492" i="13"/>
  <c r="Y497" i="13"/>
  <c r="Y502" i="13"/>
  <c r="Y506" i="13"/>
  <c r="Y510" i="13"/>
  <c r="Y514" i="13"/>
  <c r="Y518" i="13"/>
  <c r="Y522" i="13"/>
  <c r="Y526" i="13"/>
  <c r="Y530" i="13"/>
  <c r="Y534" i="13"/>
  <c r="Y538" i="13"/>
  <c r="Y542" i="13"/>
  <c r="Y546" i="13"/>
  <c r="Y550" i="13"/>
  <c r="Y554" i="13"/>
  <c r="Y558" i="13"/>
  <c r="Y562" i="13"/>
  <c r="Y566" i="13"/>
  <c r="Y570" i="13"/>
  <c r="Y574" i="13"/>
  <c r="Y578" i="13"/>
  <c r="Y582" i="13"/>
  <c r="Y586" i="13"/>
  <c r="Y590" i="13"/>
  <c r="Y594" i="13"/>
  <c r="Y598" i="13"/>
  <c r="Y602" i="13"/>
  <c r="Y606" i="13"/>
  <c r="Y610" i="13"/>
  <c r="Y614" i="13"/>
  <c r="Y618" i="13"/>
  <c r="Y622" i="13"/>
  <c r="Y626" i="13"/>
  <c r="Y630" i="13"/>
  <c r="Y634" i="13"/>
  <c r="Y638" i="13"/>
  <c r="Y42" i="13"/>
  <c r="Y64" i="13"/>
  <c r="Y85" i="13"/>
  <c r="Y106" i="13"/>
  <c r="Y128" i="13"/>
  <c r="Y149" i="13"/>
  <c r="Y170" i="13"/>
  <c r="Y184" i="13"/>
  <c r="Y205" i="13"/>
  <c r="Y226" i="13"/>
  <c r="Y248" i="13"/>
  <c r="Y269" i="13"/>
  <c r="Y290" i="13"/>
  <c r="Y312" i="13"/>
  <c r="Y333" i="13"/>
  <c r="Y348" i="13"/>
  <c r="Y362" i="13"/>
  <c r="Y384" i="13"/>
  <c r="Y405" i="13"/>
  <c r="Y425" i="13"/>
  <c r="Y441" i="13"/>
  <c r="Y457" i="13"/>
  <c r="Y468" i="13"/>
  <c r="Y484" i="13"/>
  <c r="Y500" i="13"/>
  <c r="Y512" i="13"/>
  <c r="Y524" i="13"/>
  <c r="Y536" i="13"/>
  <c r="Y548" i="13"/>
  <c r="Y564" i="13"/>
  <c r="Y576" i="13"/>
  <c r="Y588" i="13"/>
  <c r="Y600" i="13"/>
  <c r="Y612" i="13"/>
  <c r="Y624" i="13"/>
  <c r="Y636"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0" authorId="0" shapeId="0">
      <text>
        <r>
          <rPr>
            <b/>
            <sz val="10"/>
            <color indexed="9"/>
            <rFont val="Corbel"/>
            <family val="2"/>
          </rPr>
          <t>4-digit object class.  Common possibilities
 4101 - Personnel Mobility
 4110 - Research Grants
 4118 - SBIR Grant
 4144 - Equipment Grant
 4160 - Conference</t>
        </r>
      </text>
    </comment>
    <comment ref="B21" authorId="0" shapeId="0">
      <text>
        <r>
          <rPr>
            <b/>
            <sz val="10"/>
            <color indexed="9"/>
            <rFont val="Corbel"/>
            <family val="2"/>
          </rPr>
          <t>%Medium%  or %GOALI% can be used to restrict proposals to those that follow title conventions; ~%GOALI% to exclude.</t>
        </r>
      </text>
    </comment>
    <comment ref="B22" authorId="0" shapeId="0">
      <text>
        <r>
          <rPr>
            <b/>
            <sz val="10"/>
            <color indexed="9"/>
            <rFont val="Corbel"/>
            <family val="2"/>
          </rPr>
          <t>4-digit PRCs. The PRC table doesn't have an index, so this query slow; use a narrow date range</t>
        </r>
      </text>
    </comment>
    <comment ref="B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<sst xmlns="http://schemas.openxmlformats.org/spreadsheetml/2006/main" count="30638" uniqueCount="2747">
  <si>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</si>
  <si>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</si>
  <si>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</si>
  <si>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</si>
  <si>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</si>
  <si>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</si>
  <si>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</si>
  <si>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</si>
  <si>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</si>
  <si>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</si>
  <si>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</si>
  <si>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</si>
  <si>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</si>
  <si>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</si>
  <si>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</si>
  <si>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</si>
  <si>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</si>
  <si>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</si>
  <si>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</si>
  <si>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</si>
  <si>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</si>
  <si>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</si>
  <si>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</si>
  <si>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</si>
  <si>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</si>
  <si>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</si>
  <si>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</si>
  <si>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</si>
  <si>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</si>
  <si>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</si>
  <si>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</si>
  <si>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</si>
  <si>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</si>
  <si>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</si>
  <si>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</si>
  <si>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</si>
  <si>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</si>
  <si>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</si>
  <si>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</si>
  <si>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</si>
  <si>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</si>
  <si>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</si>
  <si>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</si>
  <si>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</si>
  <si>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</si>
  <si>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</si>
  <si>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</si>
  <si>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</si>
  <si>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</si>
  <si>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</si>
  <si>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</si>
  <si>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</si>
  <si>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</si>
  <si>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</si>
  <si>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</si>
  <si>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</si>
  <si>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</si>
  <si>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</si>
  <si>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</si>
  <si>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</si>
  <si>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</si>
  <si>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</si>
  <si>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</si>
  <si>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</si>
  <si>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</si>
  <si>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</si>
  <si>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</si>
  <si>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</si>
  <si>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</si>
  <si>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</si>
  <si>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</si>
  <si>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</si>
  <si>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</si>
  <si>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</si>
  <si>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</si>
  <si>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</si>
  <si>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</si>
  <si>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</si>
  <si>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</si>
  <si>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</si>
  <si>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</si>
  <si>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</si>
  <si>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</si>
  <si>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</si>
  <si>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</si>
  <si>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</si>
  <si>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</si>
  <si>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</si>
  <si>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</si>
  <si>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</si>
  <si>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</si>
  <si>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</si>
  <si>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</si>
  <si>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</si>
  <si>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</si>
  <si>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</si>
  <si>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</si>
  <si>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</si>
  <si>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</si>
  <si>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</si>
  <si>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</si>
  <si>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</si>
  <si>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</si>
  <si>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</si>
  <si>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</si>
  <si>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</si>
  <si>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</si>
  <si>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</si>
  <si>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</si>
  <si>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</si>
  <si>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</si>
  <si>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</si>
  <si>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</si>
  <si>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</si>
  <si>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</si>
  <si>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</si>
  <si>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</si>
  <si>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</si>
  <si>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</si>
  <si>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</si>
  <si>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</si>
  <si>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</si>
  <si>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</si>
  <si>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</si>
  <si>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</si>
  <si>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</si>
  <si>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</si>
  <si>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</si>
  <si>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</si>
  <si>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</si>
  <si>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</si>
  <si>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</si>
  <si>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</si>
  <si>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</si>
  <si>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</si>
  <si>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</si>
  <si>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</si>
  <si>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</si>
  <si>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</si>
  <si>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</si>
  <si>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</si>
  <si>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</si>
  <si>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</si>
  <si>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</si>
  <si>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</si>
  <si>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</si>
  <si>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</si>
  <si>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</si>
  <si>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</si>
  <si>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</si>
  <si>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</si>
  <si>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</si>
  <si>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</si>
  <si>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</si>
  <si>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</si>
  <si>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</si>
  <si>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</si>
  <si>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</si>
  <si>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</si>
  <si>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</si>
  <si>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</si>
  <si>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</si>
  <si>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</si>
  <si>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</si>
  <si>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</si>
  <si>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</si>
  <si>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</si>
  <si>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</si>
  <si>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</si>
  <si>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</si>
  <si>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</si>
  <si>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</si>
  <si>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</si>
  <si>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</si>
  <si>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</si>
  <si>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</si>
  <si>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</si>
  <si>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</si>
  <si>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</si>
  <si>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</si>
  <si>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</si>
  <si>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</si>
  <si>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</si>
  <si>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</si>
  <si>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</si>
  <si>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</si>
  <si>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</si>
  <si>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</si>
  <si>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</si>
  <si>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</si>
  <si>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</si>
  <si>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</si>
  <si>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</si>
  <si>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</si>
  <si>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</si>
  <si>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</si>
  <si>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</si>
  <si>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</si>
  <si>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</si>
  <si>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</si>
  <si>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</si>
  <si>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</si>
  <si>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</si>
  <si>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</si>
  <si>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</si>
  <si>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</si>
  <si>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R:\RAoutput</t>
  </si>
  <si>
    <t>Competitive</t>
  </si>
  <si>
    <t>C</t>
  </si>
  <si>
    <t>P</t>
  </si>
  <si>
    <t>E,V,G,F,P</t>
  </si>
  <si>
    <t>@PI</t>
  </si>
  <si>
    <t>F/P</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</si>
  <si>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</si>
  <si>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</si>
  <si>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</si>
  <si>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</si>
  <si>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</si>
  <si>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</si>
  <si>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</si>
  <si>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</si>
  <si>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</si>
  <si>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</si>
  <si>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</si>
  <si>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</si>
  <si>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</si>
  <si>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</si>
  <si>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</si>
  <si>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</si>
  <si>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</si>
  <si>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</si>
  <si>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</si>
  <si>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</si>
  <si>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</si>
  <si>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</si>
  <si>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</si>
  <si>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</si>
  <si>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</si>
  <si>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</si>
  <si>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</si>
  <si>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Directories</t>
  </si>
  <si>
    <t>for RA templates:</t>
  </si>
  <si>
    <t>NSF 17-537</t>
  </si>
  <si>
    <t>HC</t>
  </si>
  <si>
    <t>U of Washington</t>
  </si>
  <si>
    <t>Highly Competitive</t>
  </si>
  <si>
    <t>Faculty Early Career Development Program</t>
  </si>
  <si>
    <t>U of Wisconsin Madison</t>
  </si>
  <si>
    <t>LC</t>
  </si>
  <si>
    <t>Low Competitive</t>
  </si>
  <si>
    <t>1045</t>
  </si>
  <si>
    <t>E</t>
  </si>
  <si>
    <t>6</t>
  </si>
  <si>
    <t>5</t>
  </si>
  <si>
    <t>WI</t>
  </si>
  <si>
    <t>WA</t>
  </si>
  <si>
    <t>CA</t>
  </si>
  <si>
    <t>MA</t>
  </si>
  <si>
    <t>NY</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</si>
  <si>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</si>
  <si>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</si>
  <si>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</si>
  <si>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</si>
  <si>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</si>
  <si>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</si>
  <si>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</si>
  <si>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</si>
  <si>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</si>
  <si>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</si>
  <si>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</si>
  <si>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</si>
  <si>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</si>
  <si>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</si>
  <si>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</si>
  <si>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</si>
  <si>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</si>
  <si>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</si>
  <si>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</si>
  <si>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</si>
  <si>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</si>
  <si>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</si>
  <si>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</si>
  <si>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</si>
  <si>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</si>
  <si>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</si>
  <si>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</si>
  <si>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</si>
  <si>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</si>
  <si>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</si>
  <si>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</si>
  <si>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</si>
  <si>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</si>
  <si>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</si>
  <si>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</si>
  <si>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</si>
  <si>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</si>
  <si>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</si>
  <si>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</si>
  <si>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</si>
  <si>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</si>
  <si>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</si>
  <si>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</si>
  <si>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</si>
  <si>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</si>
  <si>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</si>
  <si>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</si>
  <si>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</si>
  <si>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</si>
  <si>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</si>
  <si>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</si>
  <si>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</si>
  <si>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</si>
  <si>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PRC</t>
  </si>
  <si>
    <t>PRC_Description</t>
  </si>
  <si>
    <t>CAREER: FACULTY EARLY CAR DEV</t>
  </si>
  <si>
    <t>9150</t>
  </si>
  <si>
    <t>EXP PROG TO STIM COMP RES</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</si>
  <si>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</si>
  <si>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</si>
  <si>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</si>
  <si>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</si>
  <si>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</si>
  <si>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</si>
  <si>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</si>
  <si>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</si>
  <si>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</si>
  <si>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</si>
  <si>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</si>
  <si>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</si>
  <si>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</si>
  <si>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</si>
  <si>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</si>
  <si>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</si>
  <si>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</si>
  <si>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</si>
  <si>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</si>
  <si>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Wang</t>
  </si>
  <si>
    <t>Lee</t>
  </si>
  <si>
    <t>V,V,V,G</t>
  </si>
  <si>
    <t>U of Ill Urbana-Champaign</t>
  </si>
  <si>
    <t>IL</t>
  </si>
  <si>
    <t>U of Cal Riverside</t>
  </si>
  <si>
    <t>University of Michigan</t>
  </si>
  <si>
    <t>MI</t>
  </si>
  <si>
    <t>NC</t>
  </si>
  <si>
    <t>TX</t>
  </si>
  <si>
    <t>V,G,G/F,F</t>
  </si>
  <si>
    <t>FL</t>
  </si>
  <si>
    <t>Sun</t>
  </si>
  <si>
    <t>rec0</t>
  </si>
  <si>
    <t>rec1</t>
  </si>
  <si>
    <t>rec2</t>
  </si>
  <si>
    <t>minScore</t>
  </si>
  <si>
    <t>maxScore</t>
  </si>
  <si>
    <t>PanlString0</t>
  </si>
  <si>
    <t>pnlst0</t>
  </si>
  <si>
    <t>confl0</t>
  </si>
  <si>
    <t>PanlString1</t>
  </si>
  <si>
    <t>pnlst1</t>
  </si>
  <si>
    <t>confl1</t>
  </si>
  <si>
    <t>PanlString2</t>
  </si>
  <si>
    <t>pnlst2</t>
  </si>
  <si>
    <t>confl2</t>
  </si>
  <si>
    <t>Div_name</t>
  </si>
  <si>
    <t>natr_rqst_txt</t>
  </si>
  <si>
    <t>Not Competitive</t>
  </si>
  <si>
    <t>New Project</t>
  </si>
  <si>
    <t xml:space="preserve"> V,V,V,G</t>
  </si>
  <si>
    <t xml:space="preserve"> V,G,G/F,F</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</si>
  <si>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</si>
  <si>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</si>
  <si>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</si>
  <si>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</si>
  <si>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</si>
  <si>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</si>
  <si>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</si>
  <si>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</si>
  <si>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</si>
  <si>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</si>
  <si>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</si>
  <si>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</si>
  <si>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</si>
  <si>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</si>
  <si>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</si>
  <si>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</si>
  <si>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</si>
  <si>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</si>
  <si>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</si>
  <si>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</si>
  <si>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</si>
  <si>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</si>
  <si>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</si>
  <si>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</si>
  <si>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</si>
  <si>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</si>
  <si>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</si>
  <si>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</si>
  <si>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Abstr</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</si>
  <si>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</si>
  <si>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</si>
  <si>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</si>
  <si>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</si>
  <si>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</si>
  <si>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</si>
  <si>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</si>
  <si>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</si>
  <si>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</si>
  <si>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</si>
  <si>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</si>
  <si>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</si>
  <si>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</si>
  <si>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</si>
  <si>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</si>
  <si>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</si>
  <si>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</si>
  <si>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</si>
  <si>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</si>
  <si>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</si>
  <si>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</si>
  <si>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</si>
  <si>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</si>
  <si>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</si>
  <si>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</si>
  <si>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</si>
  <si>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</si>
  <si>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</si>
  <si>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</si>
  <si>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</si>
  <si>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</si>
  <si>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</si>
  <si>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</si>
  <si>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</si>
  <si>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</si>
  <si>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</si>
  <si>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</si>
  <si>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</si>
  <si>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</si>
  <si>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</si>
  <si>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</si>
  <si>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</si>
  <si>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</si>
  <si>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</si>
  <si>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</si>
  <si>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</si>
  <si>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</si>
  <si>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</si>
  <si>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</si>
  <si>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</si>
  <si>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</si>
  <si>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</si>
  <si>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</si>
  <si>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</si>
  <si>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</si>
  <si>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</si>
  <si>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</si>
  <si>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</si>
  <si>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</si>
  <si>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</si>
  <si>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r>
      <t xml:space="preserve">Signature block: </t>
    </r>
    <r>
      <rPr>
        <sz val="10"/>
        <color theme="5" tint="-0.499984740745262"/>
        <rFont val="Calibri"/>
        <family val="2"/>
        <scheme val="minor"/>
      </rPr>
      <t xml:space="preserve"> PD=managing pgm dir, blank=draft uploader.</t>
    </r>
  </si>
  <si>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</si>
  <si>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</si>
  <si>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</si>
  <si>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</si>
  <si>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</si>
  <si>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</si>
  <si>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</si>
  <si>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</si>
  <si>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</si>
  <si>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</si>
  <si>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</si>
  <si>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</si>
  <si>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</si>
  <si>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</si>
  <si>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</si>
  <si>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</si>
  <si>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</si>
  <si>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Human/vertibrate from cover</t>
  </si>
  <si>
    <t>RAData, or edit template</t>
  </si>
  <si>
    <t>Add note to DGA</t>
  </si>
  <si>
    <t>Countries &amp; foreign travel $</t>
  </si>
  <si>
    <t>Research %age</t>
  </si>
  <si>
    <t>PO(7 letters):</t>
  </si>
  <si>
    <t>blocks to copy for RA or budget calculations</t>
  </si>
  <si>
    <t>Table of EPSCoR states</t>
  </si>
  <si>
    <t>Available RA templates</t>
  </si>
  <si>
    <t>Directory to save RA drafts</t>
  </si>
  <si>
    <t>Project revs, panel summ, etc.</t>
  </si>
  <si>
    <t>pdf from ProjText</t>
  </si>
  <si>
    <t>where to save filled-in RA drafts:</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</si>
  <si>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</si>
  <si>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</si>
  <si>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</si>
  <si>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</si>
  <si>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</si>
  <si>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</si>
  <si>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</si>
  <si>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</si>
  <si>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</si>
  <si>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</si>
  <si>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</si>
  <si>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</si>
  <si>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</si>
  <si>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</si>
  <si>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 xml:space="preserve"> '?' appearing in abstract</t>
  </si>
  <si>
    <t>ll</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</si>
  <si>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</si>
  <si>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</si>
  <si>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</si>
  <si>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</si>
  <si>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</si>
  <si>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</si>
  <si>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</si>
  <si>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</si>
  <si>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</si>
  <si>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</si>
  <si>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</si>
  <si>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</si>
  <si>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</si>
  <si>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</si>
  <si>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</si>
  <si>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</si>
  <si>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</si>
  <si>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</si>
  <si>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</si>
  <si>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</si>
  <si>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</si>
  <si>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026Y</t>
  </si>
  <si>
    <t>CRII CISE Research Initiation</t>
  </si>
  <si>
    <t>7796</t>
  </si>
  <si>
    <t>ALGORITHMIC FOUNDATIONS</t>
  </si>
  <si>
    <t>7926</t>
  </si>
  <si>
    <t>ALGORITHMS</t>
  </si>
  <si>
    <t>7929</t>
  </si>
  <si>
    <t>COMPUTATIONAL GEOMETRY</t>
  </si>
  <si>
    <t>7933</t>
  </si>
  <si>
    <t>NUM, SYMBOL, &amp; ALGEBRA COMPUT</t>
  </si>
  <si>
    <t>7934</t>
  </si>
  <si>
    <t>PARAL/DISTRIBUTED ALGORITHMS</t>
  </si>
  <si>
    <t>8228</t>
  </si>
  <si>
    <t>CISE Resrch Initiatn Initiatve</t>
  </si>
  <si>
    <t>JSNOEYI</t>
  </si>
  <si>
    <t>1749173</t>
  </si>
  <si>
    <t>Borgwardt</t>
  </si>
  <si>
    <t>TKIMBRE</t>
  </si>
  <si>
    <t>P180207</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</si>
  <si>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</si>
  <si>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</si>
  <si>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</si>
  <si>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</si>
  <si>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</si>
  <si>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</si>
  <si>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</si>
  <si>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</si>
  <si>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</si>
  <si>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</si>
  <si>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</si>
  <si>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</si>
  <si>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</si>
  <si>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</si>
  <si>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</si>
  <si>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</si>
  <si>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</si>
  <si>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</si>
  <si>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</si>
  <si>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</si>
  <si>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1749385</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</si>
  <si>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</si>
  <si>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</si>
  <si>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</si>
  <si>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</si>
  <si>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</si>
  <si>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</si>
  <si>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</si>
  <si>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</si>
  <si>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</si>
  <si>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</si>
  <si>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</si>
  <si>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</si>
  <si>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</si>
  <si>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</si>
  <si>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</si>
  <si>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</si>
  <si>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</si>
  <si>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</si>
  <si>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</si>
  <si>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1749563</t>
  </si>
  <si>
    <t>Del Pia</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</si>
  <si>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</si>
  <si>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</si>
  <si>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</si>
  <si>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</si>
  <si>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HB1006554</t>
  </si>
  <si>
    <t>Singh</t>
  </si>
  <si>
    <t>mohitsinghr@gmail.com</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</si>
  <si>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</si>
  <si>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</si>
  <si>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1749609</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</si>
  <si>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</si>
  <si>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</si>
  <si>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</si>
  <si>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</si>
  <si>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</si>
  <si>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</si>
  <si>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1749748</t>
  </si>
  <si>
    <t>Chandrasekaran</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</si>
  <si>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</si>
  <si>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NP0987734</t>
  </si>
  <si>
    <t>Madry</t>
  </si>
  <si>
    <t>madry@mit.edu</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</si>
  <si>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</si>
  <si>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</si>
  <si>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</si>
  <si>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HS0880526</t>
  </si>
  <si>
    <t>Spielman</t>
  </si>
  <si>
    <t>spielman@cs.yale.edu</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</si>
  <si>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</si>
  <si>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</si>
  <si>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1749855</t>
  </si>
  <si>
    <t>Orabona</t>
  </si>
  <si>
    <t>P180209</t>
  </si>
  <si>
    <t xml:space="preserve"> AF CAREER/CRII Panel B</t>
  </si>
  <si>
    <t xml:space="preserve"> Panel Summary       
 INTELLECTUAL MERIT:_x000D_
_x000D_
The goal of this proposal is to provide new algorithms with provable guarantees that depend on less parameters than the current machine learning algorithms. For example, this project aims at removing the need to set learning rates, regularization hyper parameters, and use weight initialization strategies in convex and non-convex optimization based machine learning algorithms._x000D_
_x000D_
+ Strengths_x000D_
-- This is a high risk, high rewards proposal on removing hyper parameters (and their tuning) from machine learning algorithms._x000D_
-- The proposal is very well written._x000D_
-- The proposal has a very exciting vision._x000D_
-- The PI is well qualified  to make progress on the problems he is proposing; he has good preliminary work in these directions._x000D_
_x000D_
- Weaknesses_x000D_
-- While the proposal research is broad and general, the techniques that the PI plans to use are quite specific (e.g. connection to a betting game). It's unclear whether the algorithms and results that are expected from this research are for some special learning scenarios or are going to be quite general (and if they are general, why it's possible to achieve that). The PI can strengthen the proposal by addressing this. _x000D_
-- The  relative ranking compared to the other proposals in the same panel was the only reason for which some of the panelists did not rank this proposal in the Excellent category._x000D_
_x000D_
_x000D_
BROADER IMPACTS:_x000D_
If successful, the research has direct benefits on the practicality of machine learning algorithms in various domains. The proposal provides adequate integration of research and education: course development, student advising/monitoring and outreach to K-12 classrooms (including collaborating with the non-profit company Kioto to create web-based machine learning courses for K-12 schools)._x000D_
_x000D_
+ Strengths_x000D_
The integration of research and teaching was particularly strong. _x000D_
_x000D_
- Weaknesses_x000D_
Some panelists felt that the proposed agenda is quite challenging and thus too risky, which might mitigate its potential broader impact._x000D_
_x000D_
Summary:_x000D_
This is a very strong proposal which has identified a number of interesting and interrelated research questions related to advancing the state of the art in theoretical machine learning via eliminating hyper parameters. The  broader impact and education components are strong as well._x000D_
_x000D_
PANEL RECOMMENDATION: Justification, including key strengths and critical_x000D_
weaknesses._x000D_
__Highly competitive (HC)_x000D_
_X_Competitive (C)_x000D_
__Low Competitive (LC)_x000D_
__Not Competitive (NC)_x000D_
_x000D_
The summary was read by/to the panel and the panel concurred that the summary accurately reflects the panel discussion. 
</t>
  </si>
  <si>
    <t>YC1007331</t>
  </si>
  <si>
    <t>Balcan</t>
  </si>
  <si>
    <t>ninamf@cs.cmu.edu</t>
  </si>
  <si>
    <t xml:space="preserve">In the context of the five review elements, please _x000D_
evaluate the strengths and weaknesses of the proposal with respect to intellectual merit._x000D_
_x000D_
The goal of this proposal is to provide new algorithms and the theoretical understanding to remove some of the hyperparameters present in current machine learning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models._x000D_
_x000D_
_x000D_
The PI has a recent interesting work in this direction a reasonable plan to attach the proposed objectives._x000D_
_x000D_
In the context of the five review elements, please _x000D_
evaluate the strengths and weaknesses of the proposal with respect to broader impacts._x000D_
_x000D_
The educational&amp;broader impact component is nicely laid out: it includes curriculum development, outreach to the growing community of machine learning practitioners via tutorial materials and open-source software on a dedicated website, collaborating with the non-profit company kidOYO to create web-based machine learning courses for K-12 schools._x000D_
_x000D_
_x000D_
Please evaluate the strengths and _x000D_
weaknesses of the proposal with respect to any additional solicitation-specific review criteria, if _x000D_
applicable_x000D_
_x000D_
_x000D_
_x000D_
Summary Statement_x000D_
_x000D_
This is a well written proposal on new algorithms and the theoretical understanding to remove some of the hyperparameters present in current machine learning algorithms. The project has an exciting vision and the PI is well qualified  to make progress on the problems he is proposing; he has good preliminary work in these directions._x000D_
_x000D_
_x000D_
</t>
  </si>
  <si>
    <t>XN0907598</t>
  </si>
  <si>
    <t>Chen</t>
  </si>
  <si>
    <t>yiling@seas.harvard.edu</t>
  </si>
  <si>
    <t xml:space="preserve">In the context of the five review elements, please _x000D_
evaluate the strengths and weaknesses of the proposal with respect to intellectual merit._x000D_
_x000D_
This proposal aims to develop theory for hyperparameter-free machine learning algorithms (or reducing hyperparameters). The proposed research includes three components: (1) Characterize computational complexity of learning algorithms without assuming knowledge on values of hyperparameters. In other words, take into account the computation involved for setting and tuning hyperparameters when considering the complexity of a learning algorithm. (2) Develop hyperparameter-free online optimization for both convex and some non-convex functions. (3) Reduce hyperparameters in deep learning. _x000D_
_x000D_
The research plan for the three components are generally well thought out and built upon the PI's previous research. For (1), the PI plans to first establish a lower bound of optimal computational complexity for learning in RKHS and then design a learning algorithm to match this optimal bound. The PI plans to extend his prior results (a lower bound for stochastic optimization in a particular setting and a hypermarameter-free stochastic approximation procedure) to achieve these. For (2), the PI's prior work has established a connection between parameter-free online convex optimization and a betting game and has used this connection to design parameter-free online learning algorithms. The PI will extend the work to richer settings. For (3), the PI again plans to leverage the aforementioned connection to the betting game to help remove superfluous hyperparameters from deep learning. But why the technique may help deep learning algorithms are somewhat vague to me. _x000D_
_x000D_
The directions of the proposed research are challenging and exciting. Theory for hyperparameter-free machine learning can fundamentally change our understanding of machine learning. The PI has a track record of developing interesting results in the area of the proposed research and is highly qualified for carrying out the proposed research.  _x000D_
_x000D_
One weakness of the proposal is: While the proposal research is broad and general, the techniques that the PI plan to use are quite specific (e.g. connection to a betting game). I didn't figure out from reading the proposal whether, as a result, the algorithms and results that are expected from this research are for some special learning scenarios or are going to be quite general (and if they are general, why it's possible to achieve that)._x000D_
_x000D_
In the context of the five review elements, please _x000D_
evaluate the strengths and weaknesses of the proposal with respect to broader impacts._x000D_
_x000D_
+ If successful, the research has direct benefits on practicality of machine learning algorithms in various domains._x000D_
_x000D_
Please evaluate the strengths and _x000D_
weaknesses of the proposal with respect to any additional solicitation-specific review criteria, if _x000D_
applicable_x000D_
_x000D_
Adequate integration of research and education: course development, student advising/mentoring and outreach to K-12 classrooms._x000D_
_x000D_
Summary Statement_x000D_
_x000D_
A solid, ambitious and well-reasoned proposal._x000D_
_x000D_
</t>
  </si>
  <si>
    <t>WE0867353</t>
  </si>
  <si>
    <t>Drineas</t>
  </si>
  <si>
    <t>drineas@gmail.com</t>
  </si>
  <si>
    <t xml:space="preserve">In the context of the five review elements, please _x000D_
evaluate the strengths and weaknesses of the proposal with respect to intellectual merit._x000D_
_x000D_
The objective of the proposal is to prevent overfitting as in machine learning by tuning the hyperparameters of the algorithm in order to trade-off the simplicity of the model with its performance on the training data. The PI seeks to design hyperparameter-free algorithms in order to achieve a better understanding of the computational complexity of learning. The career goal of the PI is to lay the foundations for hyperparameter-free non-linear and_x000D_
non-convex machine learning algorithms and already has some preliminary results in this direction. _x000D_
_x000D_
The proposal has three research directions, with the third direction being probably the most interesting and timely one. The first two directions focus on characterizing (fully?) the computational complexity of learning without prior knowledge and on doing stochastic optimization without hyperparameters. The third direction aims to reduce the hyperparameters in deep learning. _x000D_
_x000D_
Overall, this is a challenging and worth-while objective. Removing hyperparameters instead of fine-tuning them is an important direction for machine learning in the era of big data. The PI has a significant amount of prior work in this area and has a reasonable plan to attach the proposed objectives. I was not able to follow all the details of the PI's proposed plan, but the research questions are reasonably formulated -- I would have preferred a more detailed discussion of the assumptions under which the PI will actually deliver some of the proposed lower bounds. The proposed work in deep learning is more qualitatively described and was somewhat easier to follow. The end objective is to understand the characteristics of machine learning tasks that guarantee a better performance with deep learning methods with fewer hyperparameters._x000D_
_x000D_
In the context of the five review elements, please _x000D_
evaluate the strengths and weaknesses of the proposal with respect to broader impacts._x000D_
_x000D_
The broader impacts of the proposed research could be significant, if successful. However, the proposed agenda is quite challenging and thus risky. Other broader impacts are relatively standard, except for the collaboration with kidOYO, which is quite interesting. There is a letter of support for kidOYO, but no preliminary work showing how the educational infrastructure that kidOYO builds could benefit from the PI's agenda._x000D_
_x000D_
Please evaluate the strengths and _x000D_
weaknesses of the proposal with respect to any additional solicitation-specific review criteria, if _x000D_
applicable_x000D_
_x000D_
See above discussion._x000D_
_x000D_
Summary Statement_x000D_
_x000D_
A high risk high rewards proposal on removing hyperparameters (and their tuning) from machine learning algorithms. Solid proposal, with a nice vision and good preliminary work. Reasonable educational broader impacts._x000D_
_x000D_
</t>
  </si>
  <si>
    <t>NC1006557</t>
  </si>
  <si>
    <t>Mattei</t>
  </si>
  <si>
    <t>nsmattei@gmail.com</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</si>
  <si>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proposed research is important and an impressive number of key questions are identified towards expanding machine learning algorithms to eliminate dependancy on manually tuned hyperparameters..  It has the potential to impact not only the subfield of Machine Learning but inform advancements across a number of disciplines in computer science.  Focusing on eliminating hyperparameters is an important step and has broad application._x000D_
_x000D_
2. To what extent do the proposed activities suggest and explore creative, original, or potentially transformative concepts?_x000D_
_x000D_
The proposed activities are impressive -- the questions are obviously linked though not in an inter-coupled way and the PI identifies key aspects that need to be addressed. _x000D_
_x000D_
3. Is the plan for carrying out the proposed activities well-reasoned, well-organized, and based on a sound rationale? Does the plan incorporate a mechanism to assess success?_x000D_
_x000D_
This was a very tight proposal in so far as some of the same algorithmic machinery could be applied in may different areas without being codependent.  These aspects can be worked on independently and advances in any of them could be cross-fertilized._x000D_
_x000D_
4. How well qualified is the individual, team, or institution to conduct the proposed activities?_x000D_
_x000D_
He is obviously well qualified and given his experience creating opensource software there is obvious opportunity for significant impact_x000D_
_x000D_
5. Are there adequate resources available to the PI (either at the home institution or through collaborations) to carry out the proposed activities?_x000D_
_x000D_
Yes, there is strong support from both the coordinating institutions and within the department._x000D_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Very strong broader impacts -- the PI has identified several channels for teaching that are non-traditional and have significant opportunity to make an impact on a variety of populations, in addition his commitment to creating new learning modules and outreach to local communities._x000D_
_x000D_
2. To what extent do the proposed activities suggest and explore creative, original, or potentially transformative concepts?_x000D_
_x000D_
The PI has identified gaps where his research area can seamlessly support broader outreach.  The ideas (creating learning modules) are creative and potentially transformative if done well. _x000D_
_x000D_
3. Is the plan for carrying out the proposed activities well-reasoned, well-organized, and based on a sound rationale? Does the plan incorporate a mechanism to assess success?_x000D_
_x000D_
Yes, the plan is solid and there are feedback mechanisms to address success both for releasing software as well as outreach activities._x000D_
_x000D_
4. How well qualified is the individual, team, or institution to conduct the proposed activities?_x000D_
_x000D_
The PI has a track record of open-source software and identified good channels to host and maintain his work._x000D_
_x000D_
5. Are there adequate resources available to the PI (either at the home institution or through collaborations) to carry out the proposed activities?_x000D_
_x000D_
There were sufficient resources allocated to achieve the ambitious broader impacts (i.e., a GA for programming).  The PI seems committed to these broader impacts both with OYO and releasing source code._x000D_
_x000D_
Please evaluate the strengths and _x000D_
weaknesses of the proposal with respect to any additional solicitation-specific review criteria, if _x000D_
applicable_x000D_
_x000D_
_x000D_
_x000D_
Summary Statement_x000D_
_x000D_
An extremely strong proposal which has identified a number of interesting and interrelated research questions related to advancing the state of the art in theoretical machine learning via eliminating hyperparameters.  Outstanding attention to broader impacts and establishing connections to deliver the research to a diverse set of stakeholders._x000D_
_x000D_
_x000D_
</t>
  </si>
  <si>
    <t>Machine Learning has been described as the fuel of the next industrial revolution. Yet, current state-of-the-art machine learning algorithms still heavily rely on having a human in the loop setting hyperparameters to make the algorithms work properly._x000D_
The long-term goal of this project is to change the way machine learning algorithms are designed and analyzed, removing the need for hyperparameters to be tuned, yet retaining optimal theoretical and empirical performance. The overall objective is to lay the foundations for hyperparameter-free non-linear and non-convex machine learning algorithms. _x000D_
The PI's recent results built unexpected connections between optimal sequential investment and machine learning with convex models. This connection allows us, for example, to use hyperparameter-free algorithm from optimal sequential investment to design hyperparameter-free convex learning algorithms. Hence, the central hypothesis is that these connections will lead to hyperparameter-free learning algorithms for non-convex models, in particular for modern Deep Learning architectures._x000D_
_x000D_
The central hypothesis will be tested by pursuing the following inter-related specific aims:_x000D_
- Generalization and computational complexity. The aim is to fully characterize the computational complexity of learning, without assuming knowledge of unknown quantities._x000D_
- Stochastic optimization without hyperparameters. The PI will extend his recent results on hyperparameter-free online convex optimization to take advantage of curvature and smoothness. Moreover, the PI will extend these results to non-convex smooth functions proving convergence to local minima._x000D_
- Reducing hyperparameters in Deep Learning. A natural application of this theory is to deep learning models. For example, the PI aims at designing, analyzing, and implementing full fledged optimization algorithms aimed to be used by deep learning practitioners, rather than proof of concepts on synthetic problems._x000D_
_x000D_
The proposed line of research fundamentally differs from the current practice of trying to patch existing machine learning methods, finding ways to tune the hyperparameters rather than removing them.The proposed research is expected to contribute new algorithms and the theoretical understanding to remove at least some of the hyperparameters present in current machine learning algorithms. This will be done through a theoretical analysis on the role of the hyperparameters and through the design of hyperparameter-free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models.Machine learning algorithms are at the core of many recent and future developments in Biology, Medicine, Engineering, etc. However, there is still a wide gap between theoretical and applied results. This project brings together these two worlds, for designing better theoretically principled machine learning algorithms. Also, the proposed Education Plan is designed to fill the same gap in the minds of the students. It will involve designing theoretical undergraduate courses on advanced machine learning and curricular materials for graduate courses. Also, the PI plans to outreach to the growing community of machine learning practitioners via tutorial materials and open-source software on a dedicated website. Moreover, to have a broad and direct impact on the local community of Long Island, the PI will collaborate with the non-profit company kidOYO to create web-based machine learning courses for K-12 schools.</t>
  </si>
  <si>
    <t>1749977</t>
  </si>
  <si>
    <t>Solomon</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</si>
  <si>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</si>
  <si>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</si>
  <si>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</si>
  <si>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</si>
  <si>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</si>
  <si>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</si>
  <si>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1750039</t>
  </si>
  <si>
    <t>Solomonik</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</si>
  <si>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</si>
  <si>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YB0880523</t>
  </si>
  <si>
    <t>Bender</t>
  </si>
  <si>
    <t>bender@cs.stonybrook.edu</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</si>
  <si>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</si>
  <si>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</si>
  <si>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</si>
  <si>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</si>
  <si>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</si>
  <si>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1750076</t>
  </si>
  <si>
    <t>Schroeder</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</si>
  <si>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</si>
  <si>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</si>
  <si>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</si>
  <si>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</si>
  <si>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</si>
  <si>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</si>
  <si>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1750780</t>
  </si>
  <si>
    <t>Raichel</t>
  </si>
  <si>
    <t>7</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</si>
  <si>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</si>
  <si>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</si>
  <si>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</si>
  <si>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</si>
  <si>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SM1006553</t>
  </si>
  <si>
    <t>He</t>
  </si>
  <si>
    <t>xinhe@buffalo.edu</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</si>
  <si>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</si>
  <si>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</si>
  <si>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1751047</t>
  </si>
  <si>
    <t>Gibson</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</si>
  <si>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</si>
  <si>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</si>
  <si>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</si>
  <si>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</si>
  <si>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</si>
  <si>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</si>
  <si>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1751102</t>
  </si>
  <si>
    <t>Vouga</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</si>
  <si>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</si>
  <si>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</si>
  <si>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</si>
  <si>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</si>
  <si>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</si>
  <si>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</si>
  <si>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</si>
  <si>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1751135</t>
  </si>
  <si>
    <t>Nayyeri</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</si>
  <si>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</si>
  <si>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</si>
  <si>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</si>
  <si>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</si>
  <si>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</si>
  <si>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</si>
  <si>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1755702</t>
  </si>
  <si>
    <t>Charkhgard</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</si>
  <si>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</si>
  <si>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</si>
  <si>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</si>
  <si>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</si>
  <si>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</si>
  <si>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1755847</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</si>
  <si>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</si>
  <si>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</si>
  <si>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</si>
  <si>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</si>
  <si>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</si>
  <si>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1755881</t>
  </si>
  <si>
    <t>San</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</si>
  <si>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</si>
  <si>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</si>
  <si>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</si>
  <si>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</si>
  <si>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</si>
  <si>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1755954</t>
  </si>
  <si>
    <t>Hajimirza</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</si>
  <si>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</si>
  <si>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</si>
  <si>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</si>
  <si>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</si>
  <si>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PU0973340</t>
  </si>
  <si>
    <t>Kortsarz</t>
  </si>
  <si>
    <t>guyk@camden.rutgers.edu</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</si>
  <si>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</si>
  <si>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</si>
  <si>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1755978</t>
  </si>
  <si>
    <t>Gangammanavar</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</si>
  <si>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</si>
  <si>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</si>
  <si>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</si>
  <si>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</si>
  <si>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</si>
  <si>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05010000</t>
  </si>
  <si>
    <t>CCF</t>
  </si>
  <si>
    <t>CAR17-18</t>
  </si>
  <si>
    <t>1045 7926</t>
  </si>
  <si>
    <t>CO</t>
  </si>
  <si>
    <t>Steffen</t>
  </si>
  <si>
    <t>U of Colorado Denver</t>
  </si>
  <si>
    <t>V,F,F,F/P</t>
  </si>
  <si>
    <t>CAREER: Algorithms for Optimal Walks</t>
  </si>
  <si>
    <t>steffen.borgwardt@ucdenver.edu</t>
  </si>
  <si>
    <t>1045 7929</t>
  </si>
  <si>
    <t>Haitao</t>
  </si>
  <si>
    <t>Utah State University</t>
  </si>
  <si>
    <t>E,V,G,G/F</t>
  </si>
  <si>
    <t>CAREER: Algorithms for Shortest Paths and Related Problems in Computational Geometry</t>
  </si>
  <si>
    <t>haitao.wang@usu.edu</t>
  </si>
  <si>
    <t>Alberto</t>
  </si>
  <si>
    <t>E/V,V,V,V/G</t>
  </si>
  <si>
    <t>CAREER: Mixed-Integer Quadratic Optimization: Algorithms and Complexity</t>
  </si>
  <si>
    <t>delpia@wisc.edu</t>
  </si>
  <si>
    <t>Yin Tat</t>
  </si>
  <si>
    <t>E,E,E/V,V/G</t>
  </si>
  <si>
    <t>CAREER: The Interplay between Combinatorial Optimization and Algorithmic Convex Geometry</t>
  </si>
  <si>
    <t>yintat@uw.edu</t>
  </si>
  <si>
    <t>Karthekeyan</t>
  </si>
  <si>
    <t>E/V,V,V,G</t>
  </si>
  <si>
    <t>CAREER: Frontiers in the Algorithmic Theory of Cutting Planes</t>
  </si>
  <si>
    <t>karthe@illinois.edu</t>
  </si>
  <si>
    <t xml:space="preserve"> Francesco</t>
  </si>
  <si>
    <t>SUNY Stony Brook</t>
  </si>
  <si>
    <t>E,E,V,V</t>
  </si>
  <si>
    <t>CAREER: Hyperparameter-free Algorithms for Machine Learning</t>
  </si>
  <si>
    <t>francesco@cs.stonybrook.edu</t>
  </si>
  <si>
    <t>Justin</t>
  </si>
  <si>
    <t>MIT</t>
  </si>
  <si>
    <t>E,V,V/G,F</t>
  </si>
  <si>
    <t>CAREER: Structured Optimization for Geometric Problems</t>
  </si>
  <si>
    <t>jsolomon@mit.edu</t>
  </si>
  <si>
    <t>1045 7934</t>
  </si>
  <si>
    <t>Edgar</t>
  </si>
  <si>
    <t>G,G,G,F</t>
  </si>
  <si>
    <t>CAREER: Scalable algorithms for tensor networks</t>
  </si>
  <si>
    <t>solomon2@illinois.edu</t>
  </si>
  <si>
    <t>1045 7933</t>
  </si>
  <si>
    <t>Craig</t>
  </si>
  <si>
    <t>V,F,F,F</t>
  </si>
  <si>
    <t>CAREER: Addressing robustness in numerical simulation of nonlinear elastic solids through optimization integration and improved collision treatments</t>
  </si>
  <si>
    <t>craig@ucr.edu</t>
  </si>
  <si>
    <t>Benjamin</t>
  </si>
  <si>
    <t>U of Texas Dallas</t>
  </si>
  <si>
    <t>E,V,V,V</t>
  </si>
  <si>
    <t>CAREER:  AF: Giving Form to Data with a Geometric Scaffold</t>
  </si>
  <si>
    <t>Benjamin.Raichel@utdallas.edu</t>
  </si>
  <si>
    <t>Matthew</t>
  </si>
  <si>
    <t>U of Texas San Antonio</t>
  </si>
  <si>
    <t>CAREER: A Modern Look at Visibility Problems</t>
  </si>
  <si>
    <t>MATTHEW.GIBSON@UTSA.EDU</t>
  </si>
  <si>
    <t>Paul</t>
  </si>
  <si>
    <t>U of Texas Austin</t>
  </si>
  <si>
    <t>CAREER: Simulation and Design of Thin Objects Using Discrete Differential Geometry Algorithms</t>
  </si>
  <si>
    <t>evouga@cs.utexas.edu</t>
  </si>
  <si>
    <t>OR</t>
  </si>
  <si>
    <t>Amir</t>
  </si>
  <si>
    <t>Oregon State University</t>
  </si>
  <si>
    <t>V,V,V,V/G</t>
  </si>
  <si>
    <t>CAREER: Mapping Problems in Computational Geometry and Topology</t>
  </si>
  <si>
    <t>nayyeria@eecs.oregonstate.edu</t>
  </si>
  <si>
    <t>NSF 17-552</t>
  </si>
  <si>
    <t>FY18CRII</t>
  </si>
  <si>
    <t>7926 8228</t>
  </si>
  <si>
    <t>Hadi</t>
  </si>
  <si>
    <t>U of South Florida</t>
  </si>
  <si>
    <t>G,G,G</t>
  </si>
  <si>
    <t>CRII: AF: Theory and Algorithms for Two Classes of Optimization Problems: Multi-objective Binary Linear Programs and Single-objective Maximum Multiplicative Programs</t>
  </si>
  <si>
    <t>hcharkhgard@usf.edu</t>
  </si>
  <si>
    <t>7933 8228</t>
  </si>
  <si>
    <t>Ruoyu</t>
  </si>
  <si>
    <t>V,V/G,V/G</t>
  </si>
  <si>
    <t>CRII: AF: Towards Faster Algorithms for Large-scale Constrained Optimization</t>
  </si>
  <si>
    <t>ruoyus@illinois.edu</t>
  </si>
  <si>
    <t>7933 8228 9150</t>
  </si>
  <si>
    <t>Omer</t>
  </si>
  <si>
    <t>Oklahoma State University</t>
  </si>
  <si>
    <t>E/V,G,F</t>
  </si>
  <si>
    <t>CRII: AF: Generalized Deconvolution Algorithms for Coarse-Grained Simulations of Nonlinear Multiscale Systems</t>
  </si>
  <si>
    <t>osan@okstate.edu</t>
  </si>
  <si>
    <t>Shima</t>
  </si>
  <si>
    <t>Texas Engineering Exp Sta</t>
  </si>
  <si>
    <t>V,G,G/F</t>
  </si>
  <si>
    <t>CRII: AF:Bayesian Framework for Efficient Surrogate Modeling and Learning of Probabilistic Functions Based on Large Scale Monte Carlo Simulations</t>
  </si>
  <si>
    <t>shima.hm@tamu.edu</t>
  </si>
  <si>
    <t>Harsha</t>
  </si>
  <si>
    <t>Southern Methodist Univ</t>
  </si>
  <si>
    <t>V/G,G,F</t>
  </si>
  <si>
    <t>CRII:AF: Stochastic Programming Decomposition Model and Algorithm for Discrete-event Dynamic Systems</t>
  </si>
  <si>
    <t>harsha@smu.edu</t>
  </si>
  <si>
    <t>Division of Computing and Communication Foundations</t>
  </si>
  <si>
    <t>Jack Snoeyink</t>
  </si>
  <si>
    <t>AF CAREER/CRII Panel A</t>
  </si>
  <si>
    <t xml:space="preserve"> V,F,F,F/P</t>
  </si>
  <si>
    <t>31 rated projects: 3 HC, 12 C, 10 LC, 6 NC</t>
  </si>
  <si>
    <t xml:space="preserve">steffen.borgwardt@ucdenver.edu      </t>
  </si>
  <si>
    <t xml:space="preserve"> E,V,G,G/F</t>
  </si>
  <si>
    <t xml:space="preserve">haitao.wang@usu.edu      </t>
  </si>
  <si>
    <t xml:space="preserve"> E/V,V,V,V/G</t>
  </si>
  <si>
    <t xml:space="preserve">delpia@wisc.edu      </t>
  </si>
  <si>
    <t xml:space="preserve"> E,E,E/V,V/G</t>
  </si>
  <si>
    <t xml:space="preserve">yintat@uw.edu      </t>
  </si>
  <si>
    <t xml:space="preserve"> E/V,V,V,G</t>
  </si>
  <si>
    <t>Tracy J. Kimbrel</t>
  </si>
  <si>
    <t xml:space="preserve">karthe@illinois.edu      </t>
  </si>
  <si>
    <t>AF CAREER/CRII Panel B</t>
  </si>
  <si>
    <t xml:space="preserve"> E,E,V,V</t>
  </si>
  <si>
    <t>29 rated projects: 5 HC, 9 C, 11 LC, 4 NC</t>
  </si>
  <si>
    <t xml:space="preserve">francesco@cs.stonybrook.edu      </t>
  </si>
  <si>
    <t xml:space="preserve"> E,V,V/G,F</t>
  </si>
  <si>
    <t xml:space="preserve">jsolomon@mit.edu      </t>
  </si>
  <si>
    <t xml:space="preserve"> G,G,G,F</t>
  </si>
  <si>
    <t xml:space="preserve">solomon2@illinois.edu      </t>
  </si>
  <si>
    <t xml:space="preserve"> V,F,F,F</t>
  </si>
  <si>
    <t xml:space="preserve">craig@ucr.edu      </t>
  </si>
  <si>
    <t xml:space="preserve"> E,V,V,V</t>
  </si>
  <si>
    <t xml:space="preserve">Benjamin.Raichel@utdallas.edu      </t>
  </si>
  <si>
    <t xml:space="preserve">MATTHEW.GIBSON@UTSA.EDU      </t>
  </si>
  <si>
    <t xml:space="preserve">evouga@cs.utexas.edu      </t>
  </si>
  <si>
    <t xml:space="preserve"> V,V,V,V/G</t>
  </si>
  <si>
    <t xml:space="preserve">nayyeria@eecs.oregonstate.edu      </t>
  </si>
  <si>
    <t xml:space="preserve"> G,G,G</t>
  </si>
  <si>
    <t>Computer and Information Science and Engineering (CISE) Research Initiation Initiative</t>
  </si>
  <si>
    <t xml:space="preserve">hcharkhgard@usf.edu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</si>
  <si>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</si>
  <si>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</si>
  <si>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</si>
  <si>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</si>
  <si>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</si>
  <si>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</si>
  <si>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</si>
  <si>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</si>
  <si>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p172027,p172028,p180207,p180209</t>
  </si>
  <si>
    <t>Reviews&amp;panel sums released</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</si>
  <si>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</si>
  <si>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</si>
  <si>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</si>
  <si>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</si>
  <si>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</si>
  <si>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</si>
  <si>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</si>
  <si>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&amp; Make Indicated RA Drafts, as necessary.</t>
  </si>
  <si>
    <t>4. Visit RAData to select Awd/Decl/Std Decl</t>
  </si>
  <si>
    <t>1735569</t>
  </si>
  <si>
    <t>Peikert</t>
  </si>
  <si>
    <t>Chambers</t>
  </si>
  <si>
    <t>MO</t>
  </si>
  <si>
    <t>Erin</t>
  </si>
  <si>
    <t>Saint Louis University</t>
  </si>
  <si>
    <t>erin.chambers@slu.edu</t>
  </si>
  <si>
    <t>CONT</t>
  </si>
  <si>
    <t>01</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</si>
  <si>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</si>
  <si>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C:\Users\JSNOEYIN\excelSQL\RoboRA\RAtemplates</t>
  </si>
  <si>
    <t>041Y</t>
  </si>
  <si>
    <t>TRIPODS Transdisciplinary Rese</t>
  </si>
  <si>
    <t>7495</t>
  </si>
  <si>
    <t>ROBUST INTELLIGENCE</t>
  </si>
  <si>
    <t>047Z</t>
  </si>
  <si>
    <t>TRIPODS Phase 1</t>
  </si>
  <si>
    <t>060Z</t>
  </si>
  <si>
    <t>Convergent Research</t>
  </si>
  <si>
    <t>062Z</t>
  </si>
  <si>
    <t>Harnessing the Data Revolution</t>
  </si>
  <si>
    <t>7927</t>
  </si>
  <si>
    <t>COMPLEXITY &amp; CRYPTOGRAPHY</t>
  </si>
  <si>
    <t>7932</t>
  </si>
  <si>
    <t>COMPUT GAME THEORY &amp; ECON</t>
  </si>
  <si>
    <t>9102</t>
  </si>
  <si>
    <t>WOMEN, MINORITY, DISABLED, NEC</t>
  </si>
  <si>
    <t>1740547</t>
  </si>
  <si>
    <t>Shub</t>
  </si>
  <si>
    <t>P172027</t>
  </si>
  <si>
    <t xml:space="preserve"> TRIPODS Panel 1</t>
  </si>
  <si>
    <t>Not Recommended</t>
  </si>
  <si>
    <t>11</t>
  </si>
  <si>
    <t>NR</t>
  </si>
  <si>
    <t xml:space="preserve"> Panel Summary       
 _x000D_
This proposal aims to create a multidisciplinary data science institute at CCNY. The three foundational topics the PIs propose to investigate are: 1) Stability and complexity, 2) time-dependent data, 3) networks, dynamics and outcomes, and their applications to biology and medicine. The proposed center-like activities include a) a series of seminars and workshops, b) visiting scholars or consultants, c) training undergraduate, MS, PhD students and postdocs, and d) curriculum development in Data Science at CCNY. _x000D_
_x000D_
_x000D_
Intellectual Merit: _x000D_
_x000D_
Strengths _x000D_
_x000D_
+The proposed  research topic on  networks is timely and general. _x000D_
_x000D_
+Qualified research team especially with some of the team members' expertise on biological and neuroscience applications _x000D_
+Strong applications component. _x000D_
_x000D_
_x000D_
Weaknesses _x000D_
_x000D_
_x000D_
-The vision for the foundation of data science seems to be a little bit narrow. _x000D_
_x000D_
-The proposal does not include a well-organized research plan; it lacks sufficient depth and novelty. _x000D_
_x000D_
_x000D_
Broader Impact: _x000D_
_x000D_
Strengths _x000D_
_x000D_
+ The proposal has satisfactory strategies for workforce development. _x000D_
+ The proposal has a clear plan for ongoing assessment of all institute activities. _x000D_
+ The proposal anticipates curriculum development across the sciences at CCNY and CUNY. _x000D_
_x000D_
_x000D_
Weaknesses _x000D_
_x000D_
-None noticed. _x000D_
_x000D_
_x000D_
TRIPODS-specific criteria: _x000D_
_x000D_
weakness: _x000D_
_x000D_
-The proposal does not present a broad vision for the foundational aspects. _x000D_
_x000D_
- The synergistic activities  between the three areas of mathematics, statistics and computer science were seen as lacking. _x000D_
_x000D_
Collaboration and Evaluation Plan: _x000D_
_x000D_
The proposal has a clear plan for ongoing assessment of all institute activities. _x000D_
_x000D_
Data Management Plan: A brief data management plan is included and is adequate. _x000D_
_x000D_
Post-doctoral Mentoring Plan: adequate. _x000D_
_x000D_
_x000D_
Justification for Panel Rating: The lack of a clearly articulated vision for the foundations of data science and the narrowness of the proposed research lead the panel to place this proposal in the Not Recommended category. _x000D_
_x000D_
Panel Rating: _ Not Recommended _x000D_
_x000D_
The summary was read by/to the panel and the panel concurred that the summary accurately reflects the panel discussion.  
</t>
  </si>
  <si>
    <t>ejupd</t>
  </si>
  <si>
    <t xml:space="preserve">TRIPODS Review Analysis_x000D_
_x000D_
Panel Recommendation: Not Recommended (NR) or Not Discussed in Panel (NDP)_x000D_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Panel Ranking: _x000D_
_x000D_
This proposal was among the 20 rated NR and NDP._x000D_
_x000D_
Analysis and recommendation:_x000D_
_x000D_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 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and my recommendation is that this proposal be declined.  _x000D_
_x000D_
_x000D_
Tracy Kimbrel, Program Officer _x000D_
Division of Computing and Communication Foundations _x000D_
Aug 3, 2017 _x000D_
_x000D_
On behalf of the TRIPODS Management Team _x000D_
Nandini Kannan _x000D_
Tracy Kimbrel _x000D_
Jack Snoeyink _x000D_
Christopher Stark _x000D_
_x000D_
</t>
  </si>
  <si>
    <t>WH0900411</t>
  </si>
  <si>
    <t>Day</t>
  </si>
  <si>
    <t>sday@math.wm.edu</t>
  </si>
  <si>
    <t xml:space="preserve">In the context of the five review elements, please _x000D_
evaluate the strengths and weaknesses of the proposal with respect to intellectual merit._x000D_
_x000D_
This project seeks to form a multidisciplinary data science institute at CCNY that also reaches out to other CUNY campuses.  The main research theme is network theory in problems from biology and medicine.  More specifically, the proposal focuses on stability and complexity, time dependent data, and networks and network dynamics.  They propose a series of workshops to focus on both theory and practice, graduate student and postdoc fellowships to support interdisciplinary collaboration, external visitors working between traditional areas, and curriculum development in Mathematics and Computer Science.   One strength of the proposal is that the proposed research projects appear to be inherently interdisciplinary, each requiring input from two or three of the focus areas (Mathematics, Computer Science, and Statistics) in addition to interesting data sets and/or questions from biology, medicine, or physics.  This proposal features strong, application-aware research including attention to dynamic aspects of data and detailed plans for developing a unifying curriculum.  Industry engagement and developing common terminologies an concepts are also featured in the proposal.  End-to-end provenance, reproducibility, privacy, and fairness were not emphasized._x000D_
_x000D_
In the context of the five review elements, please _x000D_
evaluate the strengths and weaknesses of the proposal with respect to broader impacts._x000D_
_x000D_
The proposal anticipates curriculum development across the sciences at CCNY and CUNY.  In particular, they aim to extend and support an anticipated (2018-19) Data Science and Engineering Master's program so that data science training reaches the full range of students (interdisciplinary training for undergraduate through graduate level).  In addition, CCNY is a Majority Minority Serving Institution.  Expansion to other CUNY campuses is anticipated for Phase II.  One goal is a new interdisciplinary program leading to a degree in Data Science.  Institutionalized Data Science program BS, MS, and PhD are anticipated for Phase II.  This represents a broad educational push toward a unified data science curriculum._x000D_
_x000D_
_x000D_
Please evaluate the strengths and _x000D_
weaknesses of the proposal with respect to any additional solicitation-specific review criteria, if _x000D_
applicable_x000D_
_x000D_
The proposal includes a reasonable general plan for fostering interdisciplinary collaboration and training through regular seminars, one or two intensive multiday workshops each year, 1-2 visiting scholars (2 person months per year), and co-advising of postdocs, graduate, and undergraduate students.  The PI and co-PIs have a solid record of interdisciplinary collaboration as well as institutional leadership.  The plans to establish a Data Science Masters Degree (in the Computer Science Department), hire a data scientist in the Mathematics Department, publish papers in the three main research areas combining theory and applications, implement specific curricular goals, and reach out to laboratories and other facilities in the CUNY system are all strengths of the proposal.  The Collaboration and Evaluation Plan should have included more detail on the breakdown of goals by project phases as well as specific evaluative metrics that would allow for adaptation of projected plans.  I also would have preferred to see more information on the anticipated total number of participants and the intended mentorship structure._x000D_
_x000D_
_x000D_
Summary Statement_x000D_
_x000D_
This is a good proposal, combining PI's and co-PI's with strong records of interdisciplinary research and institutional leadership and presenting a clear vision for developing data science research and curricula.  The potential for longterm institutional buy-in through the establishment of curricular changes, a new degree program, and a new hire are all positive.  The proposal would be further strengthened by including a more detailed breakdown of activities by phase (Phase I vs. Phase II) as well as evaluative metrics for determining success and better/more efficient allocation of future resources._x000D_
_x000D_
_x000D_
</t>
  </si>
  <si>
    <t>PA0990410</t>
  </si>
  <si>
    <t>Lin</t>
  </si>
  <si>
    <t>lizhen.lin@nd.edu</t>
  </si>
  <si>
    <t xml:space="preserve">In the context of the five review elements, please _x000D_
evaluate the strengths and weaknesses of the proposal with respect to intellectual merit._x000D_
_x000D_
+The proposal proposes research on a timely and general research topic: networks. _x000D_
+Qualified research team especially the biological and neuroscience application motivated the research _x000D_
_x000D_
-not well-organized research plan, the research part of the proposal is overall not well-written_x000D_
-proposed foundational issues are being actively pursued in the scientific  literature_x000D_
_x000D_
In the context of the five review elements, please _x000D_
evaluate the strengths and weaknesses of the proposal with respect to broader impacts._x000D_
_x000D_
+Given the research expertise in the domain areas such as in biology and neuroscience, this particular topic of network is likely to have large impact on the research community, and also the study body in CUNY_x000D_
_x000D_
+The proposal has a detailed training plan. They propose budget for 1 postdoc, 3 graduate students and 4 undergraduates._x000D_
_x000D_
Please evaluate the strengths and _x000D_
weaknesses of the proposal with respect to any additional solicitation-specific review criteria, if _x000D_
applicable_x000D_
_x000D_
_x000D_
_x000D_
Summary Statement_x000D_
_x000D_
This proposal proposes  to establish a multidisciplinary data science institute at CCNY, with the research focus on networks, and applications to biology and medicine. The foundational aspects of networks the PIs propose to study are stability and complexity (the robustness of the outputs), analysis of time-dependent networks (e.g., classification issues, causal implications based on temporal data), and the dynamics of networks and outcomes.  Some of the strengths of the research component of the proposal are the timely and important research theme; they networks, a very general important topics with many foundational issues. The PIS contain many experts in neuroscience and biology which are important domain areas motivating research related to networks (especially network dynamics and etc). They have  very concrete and important examples of applications in biology and neuroscience which is very good.  There are some concerns that the description of research is too brief and not clearly enough. For example, when discussing the issue of Stability and Complexity, the PIs mentions about the complexity of homology, but it is not clearly how it is related to networks here since they are not proposing to study the networks from topological point of view.  The overall impression that the research description can be more detailed and organized.  Also there has been a huge literature studying the temporal network data, and also the dynamics of networks (e.g., a group at Northeaston on network dynamics and various groups studying the temporal neural and biological data). The proposal fails to make connection to the literature and is not clear on what is the new foundational approach they will adopt here. Overall the proposal lacks a clear new vision for the research of the proposal.  In addition, the team lacks a statistics person with statistical modeling of theory skills. _x000D_
_x000D_
The education/training plan is much more detailed which mainly has four components:_x000D_
a) A series of seminars and workshops&amp;#8232;b) Visiting scholars or consultants&amp;#8232;c) Support for undergraduate, MS, PhD and postdoctoral trainees_x000D_
d) Curricular development in Data Science at CCNY _x000D_
_x000D_
Given the highly interdisciplinary environment of the CUNY, I think it is likely they will be successful with the training program. _x000D_
_x000D_
_x000D_
</t>
  </si>
  <si>
    <t>CY0850971</t>
  </si>
  <si>
    <t>Xu</t>
  </si>
  <si>
    <t>jinhui@buffalo.edu</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</si>
  <si>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multidisciplinary data science institute at CCNY, emphasizing the role of networks, and applications to biology and medicine. The proposal mainly addresses three scientific issues in data science, a) Stability and complexity, b) Time dependent data, c) networks, dynamics and outcomes, and their applications in analyzing various types of biomedical data. The proposed center will enhance the curriculum development of a new  Data Science Engineering MS program and extend it into a more comprehensive, cross-major and department program. _x000D_
_x000D_
_x000D_
b)	Did the proposal identify specific research topics and clearly describe the roles of the mathematics, theoretical computer science, and statistics communities in addressing these foundational challenges?_x000D_
_x000D_
The proposal identified three major research topics/issues, a) Stability and complexity, b) Time dependent data, c) networks, dynamics and outcomes, and plans to use statistical inference theory, the complexity theory of computation, homology theory and dynamical systems to address them. It clearly describes the roles of mathematics, theoretical computer science, and statistics communities in addressing these foundational challenges._x000D_
_x000D_
_x000D_
_x000D_
c)	Did the proposal describe novel center-like activities? _x000D_
_x000D_
The proposed center-like activities include  a) A series of seminars and workshops,_x000D_
b) Visiting scholars or consultants, c) Support for undergraduate, MS, PhD and postdoctoral trainees, and d) Curricular development in Data Science at CCNY. _x000D_
_x000D_
d)	Please comment on the Interaction and Synergy among the 3 communities._x000D_
_x000D_
There are plenty of interaction and synergy among the 3 communities in the proposal._x000D_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adequately addressed the broad themes of Application-aware foundational research, Unifying curricula, Dynamic aspects of data. Other themes seem to be insufficient._x000D_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employ mathematics, statistics and complexity theory to help understand foundational issues of great importance in data science with applications in many fields. _x000D_
_x000D_
It will develop new curricula and research opportunities and thus will contribute to the training and career development of a new cadre of data scientists, many of whom will be from underrepresented groups. _x000D_
_x000D_
The proposed institute will support long and short term visitors, workshops in the various areas of study, post-docs and regular seminars.  _x000D_
_x000D_
b)	Did the proposal identify specific broader impact activities and clearly describe the roles of project personnel in addressing these challenges?_x000D_
_x000D_
The project personnel has clear roles in these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has identified 3 key topics in data science, and proposed to use techniques from mathematics, statistics, and theoretical computer science to solve them. The proposed research is mainly the application of some existing techniques and thus may not be viewed as solid theoretical foundations of data science. The proposal is mainly based on mathematics and statistics techniques, and the role of theoretical computer science seems to be minor._x000D_
_x000D_
The proposed activities certainly encourage collaboration and interaction among the three communities of TRIPODS._x000D_
_x000D_
_x000D_
b.	Does the proposal address the 'broad themes of the program' listed in the Program Description?_x000D_
_x000D_
The proposal adequately addressed part of the broad themes. _x000D_
_x000D_
c.	Does the proposal address strategies for workforce development, including novel educational and training activities?_x000D_
_x000D_
The proposal has a satisfactory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 _x000D_
_x000D_
e.	Vision: Is there a strong case for the ability to identify and articulate a vision for the foundations of data science? _x000D_
_x000D_
The vision for the foundation of data science seems to be a little narrow.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consists of a large group of PIs with complementary expertise. Each of them has a well defined role in the project. _x000D_
_x000D_
g.	Is there a well-developed plan for communication and interaction with the domain sciences and industry?_x000D_
_x000D_
The  communication and interaction with the domain sciences and industry is  a little unclear and needs to be better addressed. _x000D_
_x000D_
_x000D_
h.	Does the proposal provide a clear plan and rationale for an investment of the size proposed, including clear plans to develop capacity for potential future Phase II operations?_x000D_
_x000D_
The proposal addressed the potential for phase II operations. But the it is not clear what are the capacities.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_x000D_
Summary Statement_x000D_
_x000D_
This proposal aims to establish a multidisciplinary data science institute at CCNY. It identified several common challenges in data science, related to biomedical data. The proposed approaches are mainly applications of some existing techniques from the 3 communities. The overall novelty seems to be a little lacking. The role of theoretical computer science in the proposed research seems to be minor, and is expected to be strengthened._x000D_
_x000D_
</t>
  </si>
  <si>
    <t>We propose to establish a multidisciplinary data science institute at CCNY, emphasizing the role of networks, and applications to biology and medicine. The broad goals of this institute will be to see how mathematical and statistical ideas can be applied to fundamental questions about the uses of data and how these theoretical ideas relate to computation and practice, indeed to the very meaning of the results. Moreover, this institute will impact curriculum development in the relevant disciplines of biology, computer science, engineering, mathematics and physics. It will provide an important new training opportunity not only for CCNY students but also for the entire City University of New York (CUNY).Our intellectual issues are:_x000D_
a) Stability and Complexity: How robust are the outputs of data analysis algorithms. Meaningful results must be robust. Problems include model misspecifications, imprecision in data collection and input specification. How does robustness depend on the choice of algorithms used to compute these outputs? What are the most cost-efficient algorithms, and how do they depend on stability? _x000D_
b) Time dependent data: How to do classification when the data set changes with time? How may causal implications be inferred from directed graphs whose vertices are the data?_x000D_
c)  Networks, dynamics and outcomes: Data may reveal a network of interacting elements that are intended to explain some phenomena. The interactions are modeled by dynamics. Can the dynamics be learned from the data? How do the stable states of the dynamics relate to the observed outcomes that the interacting elements are meant to predict? For example, from genomics to cancers, networks of genes are inferred from the data, giving rise to dynamic systems of excitation and inhibition._x000D_
_x000D_
The mathematical and statistical ideas we bring to bear are statistical inference theory, the complexity theory of computation, homology theory and dynamical systems.  The relationship of theory to practice is very dependent on the type of data and its application. For example, networks such as gene regulatory networks and neuronal networks are fundamental and ubiquitous in biology. However, the dynamics of these networks are often imprecisely known, and even the data itself may be difficult to obtain in controlled, repeatable experiments. The institute will primarily be concerned with data coming from biology and medicine. We have identified a core group of collaborators at City College in biology, computer science, medical engineering and physics with ongoing research projects who are willing to examine their use of data and data-oriented theory in depth from the point of view of the three issues above.The Institute will establish at CCNY and CUNY a scientific discipline, not now represented, which will employ mathematics, statistics and complexity theory to help understand foundational issues of great import in data science with applications ranging from evolutionary or cancer biology to transportation systems and even more widely. Our program, which will develop new curricula and research opportunities, will contribute to the training and career development of a new cadre of data scientists, many of whom will be from underrepresented groups. The institute will strengthen education programs in mathematics, computer science, data science, and theoretical sciences at the undergraduate and graduate level at CCNY. New York City has ample professional possibilities in data science. _x000D_
The presence of an institute will clearly help move these plans along, aid in recruiting and vastly enhance our undergraduate and graduate programs. Moreover, the doctoral program of the City University of New York which is located at the Graduate Center is a very highly regarded, but basically theoretical, program. The presence of an Institute at City College interacting at a very high mathematical level would bring data science firmly into the graduate curriculum. The institute would function with long and short term visits, workshops in the various areas of study, post-docs and regular seminars. Ultimately it would give research direction to a large cohort of City University faculty through outreach to our associated City University campuses.</t>
  </si>
  <si>
    <t>1740551</t>
  </si>
  <si>
    <t>Kakade</t>
  </si>
  <si>
    <t>NAKANNA</t>
  </si>
  <si>
    <t>P172028</t>
  </si>
  <si>
    <t xml:space="preserve"> TRIPODS Panel 2</t>
  </si>
  <si>
    <t>Highly Recommended</t>
  </si>
  <si>
    <t>HR</t>
  </si>
  <si>
    <t xml:space="preserve"> Panel Summary       
 _x000D_
_x000D_
Description:_x000D_
------------_x000D_
_x000D_
"Algorithms for Data Science: _x000D_
 Complexity, Scalability, and Robustness"_x000D_
_x000D_
The research plan focuses on complexity, scalability and robustness issues of optimization and estimation algorithms. The plan is punctuated by a series of concrete research questions. Broader impacts and further synergies are achieved through curriculum development, workshop organization, and by leveraging existing data science initiatives at UW._x000D_
_x000D_
_x000D_
_x000D_
Intellectual Merit: _x000D_
-------------------_x000D_
_x000D_
This is a well-written proposal by a well-balanced and very qualified group of researchers representing the three fields mentioned in the TRIPODS solicitation. Questions were raised about the potentially narrow focus on optimization and estimation. However the panelists agree that progress on the central problems would be a solid advance in this field. In particular the idea of bridging the notions of complexity across the three disciplines seems very attractive and useful. Some of the scalability projects could represent substantial advances in the theory of convex optimization. The robustness questions touch key practical issue and therefore are of great importance._x000D_
_x000D_
Strengths _x000D_
+ Great expertise in optimization methods and in theory CS. _x000D_
+ Clear articulation of foundational problems,_x000D_
  outlining rich and novel approaches._x000D_
_x000D_
Weaknesses _x000D_
- The section on nonconvex optimization is surprisingly light._x000D_
- The connection with statistics could be more explicit._x000D_
_x000D_
_x000D_
_x000D_
Broader Impact:_x000D_
---------------_x000D_
_x000D_
The proposal plans to impact the three disciplines with curriculum development, post-doc mentoring, workshops and bootcamp, and scientific dissemination (papers, arXiv, open-source software)._x000D_
_x000D_
The proposal addresses outreach and diversity by leveraging UW initiatives such as STEM BRIDGE, eSciences, and also by organizing more specific workshop and summer schools._x000D_
_x000D_
Strengths _x000D_
+ Traditional but well thought plan for impact._x000D_
+ Synergies with existing UW initiatives (eScience,BDGN)_x000D_
+ Outreach activities with a "social good" focus._x000D_
+ Well thought connections with other areas _x000D_
  (bioinformatics, music, vision, neuroscience,.) _x000D_
_x000D_
_x000D_
TRIPODS-specific criteria: _x000D_
--------------------------_x000D_
_x000D_
The strong research program and the training activities (curriculum development, mentoring) cover the three disciplines and are likely to generate synergies as required by the solicitation. The ramping up plan for Phase II is relatively short, but sufficient at this stage. The evaluation plan provides criteria but no formal process. _x000D_
_x000D_
Strengths _x000D_
+ Well integrated research and training activities _x000D_
  in all three disciplines._x000D_
+ The evaluation criteria are clearly stated_x000D_
_x000D_
Weaknesses _x000D_
- Minimal plan for phase 2 ramp up._x000D_
- The evaluation process is not specified _x000D_
_x000D_
_x000D_
Collaboration and Evaluation Plan:  _x000D_
----------------------------------_x000D_
_x000D_
The collaboration plan presents the focus of the senior personnel and explain their areas of focus. The evaluation plan specifies a clear list of criteria. _x000D_
_x000D_
_x000D_
Data Management Plan_x000D_
--------------------_x000D_
_x000D_
All code and software needed for research reproducibility is going to be shared and archived using standard open-source methods (e.g. GitHub). _x000D_
_x000D_
_x000D_
Post-doctoral Mentoring Plan:_x000D_
-----------------------------_x000D_
_x000D_
The post-doc mentoring plan is traditional but well organized._x000D_
_x000D_
_x000D_
Suggestions to PI _x000D_
-----------------_x000D_
_x000D_
+ Improve the evaluation process (e.g. evaluation panel)_x000D_
+ Plan communication with other TRIPODS-funded centers in view of phase 2_x000D_
_x000D_
_x000D_
Justification for Panel Rating_x000D_
------------------------------_x000D_
_x000D_
The project proposes a bold and coherent research plan focusing on optimization and estimation applied to data science and integrating the perspective of the TRIPODS disciplines. Institute organization (center aspects) are appropriate for TRIPODS phase 1._x000D_
_x000D_
_x000D_
Panel Rating:_x000D_
-------------_x000D_
X Highly Recommended _x000D_
_ Recommended _x000D_
_ Not Recommended _x000D_
_x000D_
_x000D_
_x000D_
The summary was read by/to the panel and the panel concurred that the summary accurately reflects the panel discussion._x000D_
</t>
  </si>
  <si>
    <t>CSTARK</t>
  </si>
  <si>
    <t>skosaraj</t>
  </si>
  <si>
    <t>Award: CCF 1740551, Principal Investigator: Sham Kakade_x000D_
_x000D_
Algorithmic tools underpin the ways in which modern data science methods glean insights from data, manipulate their environments, and estimate underlying statistical properties in the world. With increasing computational resources and an unprecedented growth of large datasets, there is an increased need for scalable and robust algorithmic tools which can provide insights into data in an automated manner, and thus, help to accelerate the pace of science and engineering. The modern challenges that a range of fields now face are no longer easily handled by ideas from a single discipline. A central goal of this project is to provide a common language and unifying methods for addressing contemporary data science challenges. At their core, each of the three disciplines of computer science, mathematics, and statistics has rich theories of complexity and robustness.  These theories have influenced the design of the available tools that are used to address real world computational problems. Going forward, this project seeks new algorithms and design principles that unify ideas and provide a common language for addressing contemporary data science challenges. The PIs will draw from their expertise in computer science, mathematics, and statistics to aid in providing these unifying approaches. In parallel, aiming for a strong educational impact of the work, the aim is to train students an postdoctoral scholars to be well-versed in different areas underpinning data science and will incorporate appropriate theoretical ideas into a data science curriculum. The PIs will also organize events that help train students (including a hackathon and a bootcamp) and a research workshop that bring together researchers from the three disciplines for discussion and collaboration._x000D_
_x000D_
In particular, the research objectives of this project are in unifying basic abstractions and techniques in order to yield not only further breakthroughs in all three fields, but also to impact societal and technological growth. The complexity and algorithmic questions this work seeks to address include: (i) how to unify various notions of complexity (which range from information theoretic to computational to black box oracle models), (ii) how to unify notions of robustness and adaptivity (e.g., how solutions and methods change as oracle models are corrupted by random or adversarial noise), (iii) how to address optimization challenges due to nonconvexity, and (iv) how to use these unified approaches to design more effective scalable tools, in theory and practice. These foundations will directly draw from the PIs close collaborations with various technological and scientific practitioners. Funds for the project come from CISE Computing and Communications Foundations, CISE Information Technology Research, MPS Division of Mathematical Sciences, and MPS Office of Multidisciplinary Activities.</t>
  </si>
  <si>
    <t>POCmnt</t>
  </si>
  <si>
    <t>cstark</t>
  </si>
  <si>
    <t>80</t>
  </si>
  <si>
    <t xml:space="preserve">Dear Professors Kakade, Drusvyatskiy, Fazel, Harchaoui, and Lee,_x000D_
_x000D_
Congratulations! I am delighted that your proposal submitted to the_x000D_
Transdisciplinary Research in Principles of Data Science Phase I_x000D_
solicitation has received an award. This will be a three-year standard_x000D_
award in the total amount of $1,499,523. The review analysis on which_x000D_
the recommendation for this award is based is enclosed at the end of_x000D_
this letter._x000D_
_x000D_
A primary goal of the TRIPODS program is to bring communities_x000D_
together, facilitate interaction between them, and work toward a_x000D_
shared understanding of the future of the foundations of data_x000D_
science. Thus, CCF and DMS encourage close collaboration and_x000D_
coordination among the TRIPODS Institutes. Please plan to attend a_x000D_
kickoff PI meeting in Alexandria, VA, in October or early November of_x000D_
2017. We would like three PIs from each TRIPODS Institute to attend_x000D_
the meeting for one and a half days, and we would like one PI from_x000D_
each Institute to attend for an additional half day for a "leadership_x000D_
council" session. We will finalize the dates shortly._x000D_
_x000D_
I would like to extend my best wishes for continued success with your research. _x000D_
_x000D_
Sincerely _x000D_
_x000D_
Christopher W. Stark, Program Officer _x000D_
Division of Mathematical Sciences _x000D_
_x000D_
_x000D_
_x000D_
----------------------_x000D_
_x000D_
DMS 1740551_x000D_
Title: Algorithms for Data Science: Complexity, Scalability, and Robustness._x000D_
PI: Sham Kakade, Dmitriy Drusvyatskiy, Maryam Fazel, Zaid Harchaoui, Yin Tat Lee_x000D_
Institution: University of Washington_x000D_
_x000D_
These comments are the review analysis I prepared in support of my recommendation for this proposal, with information deleted that is purely administrative or that might identify reviewers or  investigators who are not involved in this proposal._x000D_
_x000D_
Introduction: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Information Science  Engineering (CISE) and the Division of Mathematical Sciences (DMS) in the Directorate for Mathematical and Physical Sciences (MPS)._x000D_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One of the reviewers was appointed by the managing Program Officer as the scribe to write a summary of the panel's discussion of the proposal.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Panel Ranking: The panel placed proposals into the previously described categories as follows:_x000D_
_x000D_
Highly Recommended:  2 proposals_x000D_
_x000D_
Recommended:  7 proposals_x000D_
_x000D_
Not Recommended:  10 proposals_x000D_
_x000D_
Not Discussed in Panel:  11 proposals_x000D_
_x000D_
_x000D_
The panel ratings for this proposal are: E/V, V, and V.   The panel ranked this submission in its "Highly Recommended" category._x000D_
_x000D_
Post Panel Review: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This proposal to the TRIPODS competition from the University of Washington describes research motivated by big questions on ideas of complexity (a term with differing interpretations in computer science, statistics, and mathematics), tools and scalability (with an emphasis on optimization and statistical estimation, with attention to convex versus non-convex methods),  and robustness and adaptivity in empirical settings._x000D_
_x000D_
Institutional goals include the development of ties and synergies with existing local activities such as the eScience Institute (a multi-disciplinary center for "advancing data-intensive discovery in all fields") and the Big Data for Genomics and Neuroscience (BDGN) Training Program._x000D_
_x000D_
Activities described in the Collaboration Plan that point toward a Phase II proposal include a stepped-up postdoctoral fellowship program, undergraduate activities aimed at attracting women and members of underrepresented groups to data science, workshops to bring together local researchers and invited experts, curriculum development, and collaborations across disciplinary lines that are likely to include work with Seattle's projects in the Smart Cities Intiative._x000D_
_x000D_
Intellectual Merit:   The panel found the proposal to be well written.  Questions were raised about the focus of the research agenda on optimization and estimation, a potentially narrow mix, but the panelists agree with the investigators that these are substantial and attractive issues on which progress would be a solid advance for data science.  _x000D_
_x000D_
All three large questions listed as research goals receive comments. The goal of bridging notions of complexity across computer science, statistics, and mathematics is judged to be attractive and useful. Scalability projects might involve substantial advances in optimization theory.  The potential of the robustness agenda to touch key practical issues gives this line of work substantial importance in the panel's judgment._x000D_
_x000D_
Although the project team brings to bear what the panel describes as great expertise in optimization methdology and theoretical computer science, the panel found the section on nonconvex optimization to be surprisingly light and to miss the opportunity to make explicit connections to statistics._x000D_
_x000D_
Broader Impacts:   These elements of the proposal are thought by the panel to be mostly traditional, but well laid out.  Planned activities take advantage of existing elements at the submitting institution, include connections to the city of Seattle that could be valuable and distinctive, and exhibit well thought out connections with other disciplines._x000D_
_x000D_
Postdoctoral mentoring plans are judged by the panel to be traditional, but well organized._x000D_
_x000D_
TRIPODS-Specific Criteria: The panel summary reports that the strong research program, the strengths of the team, and the training activities and curriculum development offered by the proposal touch on all three TRIPODS disciplines and are likely to add to the existing synergies described in the proposal._x000D_
_x000D_
The plan for ramping up toward a Phase II proposal is relatively short, but is judged to be sufficient at startup.  The evaluation plan is reported to offer criteria but no formal process of project evaluation._x000D_
_x000D_
Code and software needed for reproducible research will be shared and archived using standard open-source methods._x000D_
_x000D_
Summary and Rationale for Recommendation: The TRIPODS Management Team agreed that the intellectual merit and broader impacts of the project were excellent. The research plan addressed significant foundational data science challenges, with an integrated training program and plans to develop that training program further. Given the existing initiatives and infrastructure for multidisciplinary research and training in data science at the University of Washington, the Management Team agreed that the project was compelling and agreed to recommend an award at the requested level._x000D_
_x000D_
Recommendation: A three-year standard   award at the requested level of 1,500,000 total._x000D_
_x000D_
All of the funding is to be applied in FY 2017, from FY 2017 allocations, and  the following sources will contribute to the award:_x000D_
_x000D_
Unit         Org Code   PEC    Funds_x000D_
_x000D_
CCF          05010000 041Y $250,000_x000D_
_x000D_
ITR            05100002 041Y $500,000_x000D_
_x000D_
DMS          03040000 041Y $250,000_x000D_
_x000D_
MPS/OMA 03060000 1253 $500,000_x000D_
_x000D_
_x000D_
_x000D_
The following PRCs apply to all funding lines:_x000D_
_x000D_
047Z TRIPODS Phase 1, and_x000D_
_x000D_
062Z Harnessing the Data Revolution._x000D_
_x000D_
    _x000D_
Christopher W. Stark_x000D_
Program Officer_x000D_
Division of Mathematical Sciences_x000D_
_x000D_
_x000D_
On behalf of the TRIPODS Management Team_x000D_
Nandini Kannan_x000D_
Tracy Kimbrel_x000D_
Jack Snoeyink_x000D_
Christopher Stark_x000D_
_x000D_
</t>
  </si>
  <si>
    <t>ZH0730742</t>
  </si>
  <si>
    <t>Arora</t>
  </si>
  <si>
    <t>arora@cs.princeton.edu</t>
  </si>
  <si>
    <t xml:space="preserve">In the context of the five review elements, please _x000D_
evaluate the strengths and weaknesses of the proposal with respect to intellectual merit._x000D_
_x000D_
This is a well-written proposal by a well-balanced group representing the three fields mentioned in the CFP. Progress on the central problems would be a solid advance in this field._x000D_
_x000D_
Much of the proposal focuses on the optimization view of machine learning and proposes new projects that would extend this. Some of them would take the theory and practice of convex optimization ---perhaps the best developed topic in this subfield-- to next level: KLS conjecture, gradient free optimization, new convex relaxations for structure in problems. The proposal would also study questions such as extension to nonsmooth functions and settings where the desired solutions lie on a partly smooth manifold._x000D_
_x000D_
The proposal were also nice questions about improving efficiency of various algorithms  in linear algebra, solving eqns etc. using  ideas from sketching. (In general, it seems a lot of research problems are from the juniormost coPI, Lee). _x000D_
_x000D_
There is some discussion of nonconvex optimization which is a crucial ingredient of recent practical progress, but it was a bit brief (perhaps surprising given that the PI is Kakade). But I like the search for condition number analogs for nonlinear problems, and the search for an explanation of simple local improvement procedures or quasi Newton methods in nonconvex settings. The section on nonconvex optimization could be stronger; surely (given the multiple NP-hardness results) there is no general theory for nonconvex problems that just assumes some calculus properties about gradient, smoothness etc.? The proposal could have been stronger if there were some  indication of the kind of result the team hopes to prove here.   _x000D_
_x000D_
If successful, the research would represent a substantial progress in optimization aspects of machine learning, optimization and statistics/math. _x000D_
_x000D_
_x000D_
_x000D_
In the context of the five review elements, please _x000D_
evaluate the strengths and weaknesses of the proposal with respect to broader impacts._x000D_
_x000D_
Progress on core optimization questions could have great impact on data science._x000D_
_x000D_
The connections with other disciplines ---bioinformatics, music, vision, neuroscience etc.--seem genuine, and well-thought out, and the PIs appear to have a good track record for such collaborations. _x000D_
_x000D_
The project has a substantial component of instruction ---several new courses---as well as mentoring which would have a very positive impact on data science._x000D_
_x000D_
Please evaluate the strengths and _x000D_
weaknesses of the proposal with respect to any additional solicitation-specific review criteria, if _x000D_
applicable_x000D_
_x000D_
Overall, the proposal is still among the strongest in the pool, primarily because of the strong team. It does bring together researchers from different fields in a convincing way. The plans for curriculum development, programmatic activities like workshops, postdoc training, outreach, mentoring of underrepresented groups etc. were strong. The links with other disciplines feel genuine. There is a coherent plan for a Tripods center, including phase II. The resources available at this university and this geographic area are excellent. _x000D_
_x000D_
Weaknesses: (i) Could improve the plan for attacking problems in nonconvex optimization. (ii) Looking closely at the team composition, it seems mostly they are experts in optimization (regardless of actual affiliation) which is somewhat narrow compared to some other proposals._x000D_
_x000D_
Summary Statement_x000D_
_x000D_
Very good proposal._x000D_
_x000D_
</t>
  </si>
  <si>
    <t>YA0934858</t>
  </si>
  <si>
    <t>Bottou</t>
  </si>
  <si>
    <t>leonb@fb.com</t>
  </si>
  <si>
    <t xml:space="preserve">In the context of the five review elements, please _x000D_
evaluate the strengths and weaknesses of the proposal with respect to intellectual merit._x000D_
_x000D_
The proposal describe a well developed scientific project centering on optimization for data sciences. The team is very qualified to carry out this plan. On the other hand, optimization is an area where the existing synergies between mathematics, computer science and statistics are already well developed. Therefore the potential for new synergies is less important than it looks. However there is clear potential for building a strong nucleus of synergies around the optimization aspect._x000D_
_x000D_
In the context of the five review elements, please _x000D_
evaluate the strengths and weaknesses of the proposal with respect to broader impacts._x000D_
_x000D_
Besides the usual education and training activities of a large university, and the continuation of existing data science activities at UW, the organizers propose to setup a multi-day interdisciplinary bootcamp and workshop. The collaboration plan provides details but no calendar._x000D_
_x000D_
Please evaluate the strengths and _x000D_
weaknesses of the proposal with respect to any additional solicitation-specific review criteria, if _x000D_
applicable_x000D_
_x000D_
The plan for ramping up towards phase 2 is minimal but reasonable. The evaluation plan describes criteria but no formal process._x000D_
_x000D_
Summary Statement_x000D_
_x000D_
The scientific strength of the proposal is excellent, but maybe a bit narrow in focus. Although the proposal possibly misses the "Institute" aspect of the TRIPODS call, this seems correctable during the course of the project. Overall I find this proposal well worth funding._x000D_
_x000D_
_x000D_
</t>
  </si>
  <si>
    <t>NB0939671</t>
  </si>
  <si>
    <t>MuthuKrishnan</t>
  </si>
  <si>
    <t>smewtoo@gmail.com</t>
  </si>
  <si>
    <t xml:space="preserve">In the context of the five review elements, please _x000D_
evaluate the strengths and weaknesses of the proposal with respect to intellectual merit._x000D_
_x000D_
The proposed work is an institute at UW leveraging eScience inst  (domain scientists, outreach) and local industry. _x000D_
_x000D_
The research directions proposed:_x000D_
- Math/CS/Stats have different notions of complexity,  different notions of robustness, different approaches to scalability, for optimization and estimation problems. Proposal will seek to understand their relationship and universal components if any._x000D_
- Proposal will revisit convex and non-convex optimization with these perspectives and develop new algorithmic and mathematical tools. _x000D_
_x000D_
PIs span different sets of  two out of the 3 areas with several collaborations within the team and with other scientists, with expertise in optimization and theory CS.  _x000D_
_x000D_
PIs explore  application aware foundational research in particular focused on sciences and social good, and unified curricula via collaboration with eSciences effort at UW._x000D_
_x000D_
Strengths:_x000D_
- Great expertise in optimization methods and in theory CS. _x000D_
- Clear articulation of foundational problems and rich, novel approaches. _x000D_
- Connections to local industry and sciences community via UW resources. _x000D_
_x000D_
Weaknesses:_x000D_
- The proposal is stronger in its optimization and theory CS perspective, it will be interesting to incorporate more statistical perspective, in practice and in principle. For example, are there empirical data analyses and models which can help?_x000D_
_x000D_
_x000D_
_x000D_
In the context of the five review elements, please _x000D_
evaluate the strengths and weaknesses of the proposal with respect to broader impacts._x000D_
_x000D_
Broader impacts._x000D_
- Impact multiple research communities via foundational concepts. _x000D_
- Will incorporate outcomes into undergrad and grad courses. _x000D_
- Have postdoc mentoring with 2 out of 3 depts. _x000D_
- Clear outreach plan via workshop, bootcamp and STEM BRIDGE program._x000D_
_x000D_
Strengths:_x000D_
- Significant research insight will impact multiple disciplines. _x000D_
- Plan for data science for social good activity. _x000D_
_x000D_
Weaknesses:_x000D_
- Some significant effort to get (usable) methods out to external world perhaps via collaborations with empirical scientists will be interesting. The local industry connections can help._x000D_
_x000D_
Please evaluate the strengths and _x000D_
weaknesses of the proposal with respect to any additional solicitation-specific review criteria, if _x000D_
applicable_x000D_
_x000D_
_x000D_
Proposal describes several research directions, and they are common, foundational to all 3 areas.  Proposal expands on application-aware foundational research, in particular for science and for social good.  PIs propose shared postdocs and other sciences mentoring for integrative teaching._x000D_
_x000D_
There is synergy at the optimization and mathematical/algorithmic tools level, and PIs have some extant collaborations. There is a potential to realize a common theory of complexity, robustness and scaling, for ex, using reduction between notions. This is a good vision.  The team has some collaborations in place, and can use more strength in slightly more empirical expertise or Statistics. _x000D_
_x000D_
Phase II will expand workshop and other activities and will seek out larger partners like the city of Seattle, and this will be a useful exercise for the Data Science agenda in this proposal. _x000D_
_x000D_
_x000D_
Summary Statement_x000D_
_x000D_
The proposed research directions are significant, with common notions of complexity, robustness and scaling being addressed and related to each other, via mathematical/algorithmic tools.  Proposed outreach to data science for good and for other sciences is a good outlet.  More expertise in empirical data science and Statistics will enrich the proposed work._x000D_
_x000D_
</t>
  </si>
  <si>
    <t>Algorithmic tools underpin the ways in which modern data science methods glean insights from data, manipulate their environments, and estimate underlying statistical properties in the world. With increasing computational resources and an unprecedented growth of large datasets, there is an increased need for scalable and robust algorithmic tools which can provide insights into data in an automated manner and, thus, help to accelerate the pace of science and engineering. The modern challenges that a range of fields now face are no longer easily handled by ideas from a single discipline._x000D_
_x000D_
At their core, each of the three disciplines (computer science, mathematics, and statistics) has rich theories of complexity and robustness. These theories have influenced the design of the various available tools that are used to address the complexities in the real world problems. Going forward, this work seeks new algorithms and design principles that unify ideas and provide a common language for addressing contemporary data science challenges. The PIs will draw from their expertise in computer science, mathematics, and statistics to aid in providing these unifying approaches. In parallel, aiming for a strong educational impact of the work, the aim is to train students to be well versed in different areas underpinning data science and will incorporate appropriate theoretical ideas into a data science curriculum.A central goal of the proposal is to yield a common foundation for advancing the state of the art. In particular, the objectives are in unifying basic abstractions and techniques in order to yield not only further breakthroughs in all three fields, but to also impact societal and technological growth. The complexity and algorithmic questions this work seeks to address include: (i) how to unify various notions of complexity (which range from information theoretic to computational to black box oracle models) and (ii) how use these unified approaches to design more effective scalable tools, both in theory and in practice.  These foundations will be directly inspired by the PIs' close collaborations with various technological and scientific practitioners. The PIs are well-equipped to pursue the work, as exemplified by their strong recent history, including high-caliber publications, extensive collaborations, grants, awards, and influential lectures.The team brings together expertise from the three areas, with complementary and synergistic skills. This is demonstrated by current joint publications and grants, joint seminars and reading groups, and shared students. Through the proposed postdoc fellowship program, graduate student training, workshop organization, curriculum initiatives including co-developed new courses to bring more theoretical foundations to existing data science education at UW, the efforts aim to not only address research problems laid out in Phase I, but also train multidisciplinary researchers ready to expand efforts into a Phase II institute. The efforts leverage UW's existing infrastructure, including the eScience Institute, to interact with domain scientists, with local industry (e.g., MSR, Amazon), with the broader community via existing outreach and diversity programs, such as eScience's summer program "Data Science for Social Good" and the College of Engineering's STEM BRIDGE program.</t>
  </si>
  <si>
    <t>xDiaryNt</t>
  </si>
  <si>
    <t>nakannan</t>
  </si>
  <si>
    <t>MPS OMA Co-funding</t>
  </si>
  <si>
    <t xml:space="preserve">Nandini:_x000D_
_x000D_
Thank you for your request for OMA co-funding of this TRIPODS project, which is a partnership between MPS/DMS and CISE/CCF.  On the bases of its merits and its rich, multidisciplinary character, John and I enthusiastically support it and offer OMA co-funding in the requested amount of $2.00M.  For the OMA split funding line in eJ, please select John Gillaspy as the PO, use OMA Org and PE codes, 03060000 and 1253, respectively, and apply the same PRCs to the OMA funding line as to all DMS sources of funds.  Finally, please upload this message into eJ as a diary note to serve as a record of this OMA co-funding action._x000D_
_x000D_
_x000D_
Clark_x000D_
_________________________________________x000D_
Clark V. Cooper_x000D_
Senior Advisor for Science_x000D_
Head, Office of Multidisciplinary Activities_x000D_
Directorate for Mathematical and Physical Sciences_x000D_
National Science Foundation_x000D_
4201 Wilson Boulevard_x000D_
Suite 1005_x000D_
Arlington, VA  22230-0002_x000D_
(703) 292-7899_x000D_
ccooper@nsf.gov_x000D_
_________________________________________x000D_
_x000D_
From: Kannan, Nandini _x000D_
Sent: Wednesday, May 24, 2017 6:06 PM_x000D_
To: Cooper, Clark V. &lt;CCOOPER@nsf.gov&gt;_x000D_
Cc: Gillaspy, John D. &lt;JGILLASP@nsf.gov&gt;; Luo, Tie &lt;tluo@nsf.gov&gt;_x000D_
Subject: RE: OMA Co-funding for TRIPODS_x000D_
_x000D_
Dear Clark,_x000D_
_x000D_
Thank you for the quick response! We would like to request 2 million from OMA for the TRIPODS projects.  DMS has committed 2 million/year for FY17, FY18, and FY19, with an equal contribution from CISE/CCF (total of 12 million for TRIPODS Phase I)._x000D_
_x000D_
We are planning to make all the awards continuing (the requested budgets are all close to the maximum of 1.5 million for 3 years.)_x000D_
_x000D_
The OMA contributions could be used in FY 17 (or out-years if you prefer.)  We would like to request $500,000 from OMA for each of the 4 highly recommended projects:_x000D_
_x000D_
1740822 Data Science for the Social Good _x000D_
PI Weinberger, Kilian; Cornell University _x000D_
_x000D_
1740833 From Foundations to Practice of Data Science and Back _x000D_
PI Wright, John N.; Columbia University_x000D_
_x000D_
1740707, Institute for Foundations of Data Science_x000D_
PI Wright, Stephen J.     University of Wisconsin-Madison  _x000D_
 _x000D_
1740551, Algorithms for Data Science: Complexity, Scalability, and Robustness._x000D_
PI Kakade, Sham; University of Washington  _x000D_
_x000D_
Thank you and regards,_x000D_
_x000D_
Nandini_x000D_
</t>
  </si>
  <si>
    <t>1740562</t>
  </si>
  <si>
    <t>Crainiceanu</t>
  </si>
  <si>
    <t>Not Discussed in Panel</t>
  </si>
  <si>
    <t>NDP</t>
  </si>
  <si>
    <t>jsnoeyin</t>
  </si>
  <si>
    <t xml:space="preserve">_x000D_
This year the Directorate for Computing &amp; Information Science &amp; Engineering in collaboration with the Directorate for Mathematical and Physical Sciences reviewed 83 proposals totaling 60 projects submitted to the Transdisciplinary Research in Principles of Data Science Phase I (TRIPODS) program (solicitation number NSF 16-615). Every effort is made to reach a decision to award or decline most or all proposals within 6 months of the submission deadline.  _x000D_
_x000D_
Each project was considered by a panel of experts along with other projects pertaining to similar topics. Where necessary, external reviews were obtained from reviewers who did not participate in the panel meeting. The reviews of individual panelists were discussed during the panel meetings and a Panel Summary capturing the discussion was produced. For each project, the panel recommendation to NSF was that the project was "Highly Recommended," " Recommended," "Not Recommended," or "Not Discussed in Panel."  _x000D_
_x000D_
Each of the proposals under review by the panel was considered, one at a time, as a candidate for detailed discussion, based on the panelists' individual review ratings. Each proposal with (a) at least one review rating of "Very Good/Good" or better, or (b) with all review ratings of "Good," or (c) with at least one panelist who wished to have a discussion (regardless of reviewer ratings) was retained for in-depth discussion. Reviewers with conflicts of interest on a proposal did not participate in determining whether a proposal would be discussed in depth. Each proposal that was not chosen for in-depth discussion by the panel (i.e., with no review rating of Very Good/Good or higher, with at least one review rating of Good/Fair or lower, and for which no panelist asked for discussion) was placed in the Not Discussed in Panel category, by unanimous consent of the panelists who did not have a conflict of interest with the proposal under consideration. Verbatim copies of individual reviews are being provided to the PIs for those proposals that were subject to abbreviated discussion as a result of this process.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</si>
  <si>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Methodological approaches for very large -omics, wearable computing and neuroimaging data_x000D_
_x000D_
L: 1740562 Crainiceanu, Ciprian Johns Hopkins University $  748,969_x000D_
N: 1740596 Smirnova, Ekaterina University of Montana $  374,812_x000D_
N: 1740613 Jafari, Farhad University of Wyoming $  372,322_x000D_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</si>
  <si>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WH0793721</t>
  </si>
  <si>
    <t>Dey</t>
  </si>
  <si>
    <t>tamaldey@cse.ohio-state.edu</t>
  </si>
  <si>
    <t xml:space="preserve">In the context of the five review elements, please _x000D_
evaluate the strengths and weaknesses of the proposal with respect to intellectual merit._x000D_
_x000D_
_x000D_
This is a collaborative proposal among three universities mainly focusing on developing for data analytics tools big medical data. These data are of primarily three types, multi-omics data, wearable gadget data, and neuroimaging data. The data sources are mainly from the Johns-Hopkins medical center to which the PI is affiliated. The other co-PIs from Montana University and Wyoming University are all linked with the research work on biological data._x000D_
_x000D_
The goal of addressing massive data generated in the field of health-care is appropriate and timely. The availability of the data and expertise in the medical field are certainly a must for such a project. In that respect the PIs are well positioned to conduct the research. But, what is missing is the expertise in algorithmic development. There is no theoretical computer scientist involved in the project. I agree with the PIs that they have some institutional advantages, but the team lacks the expertise in theoretical computer science. _x000D_
_x000D_
The proposal mostly focuses on the particularity of the data sets and the need to handle their high dimensionality effectively. Handling massive data effectively goes beyond the expertise of the medical field, and it is appropriate that the team include people who have a solid theory base both in algorithms and mathematics. Otherwise, the proposed solutions which are mostly naive or based on already known numerical techniques wont work for such complex data. The PIs have correctly identified that global structures in data need to be harnessed to address the problem, but they dont offer any new direction to solve this issue. Also, the proposal smacks more like a big-data proposal for a specific type of application, which I gather from the call for proposal is not the goal of TRIPODS, which seeks for more foundational developments._x000D_
_x000D_
_x000D_
_x000D_
_x000D_
_x000D_
In the context of the five review elements, please _x000D_
evaluate the strengths and weaknesses of the proposal with respect to broader impacts._x000D_
_x000D_
The combination of the three institutes is a plus because, as the PIs point out, it gives the opportunity to a large body of students to be familiar with cutting edge research in data analytics. The PIs propose to develop curriculum centered on data science, in particular for medical data. They argue that a host of medical students will benefit from taking these courses and participating in developing tools to analyse such data. They propose to create a repository of data sets and software. If this is done for public use, this will be a big service. This reviewer feels that lack of appropriate publicly available data in the medical field somewhat is stifling its development. Therefore, creation of such a data repository will be an enormous service to the science and society._x000D_
_x000D_
_x000D_
Please evaluate the strengths and _x000D_
weaknesses of the proposal with respect to any additional solicitation-specific review criteria, if _x000D_
applicable_x000D_
_x000D_
This proposal talks about most of the aspects of solicitation:_x000D_
_x000D_
(i) It has a training plan to engage students to analyze different kinds of medical data and fostering cross-disciplinary activities mostly within the medical field. Specifically, it plans to offer courses through MOOCS._x000D_
(ii) It talks about scaling the project to Phase II institute_x000D_
(iii) It proposes to synchronize the activities across three geographically distant institutes through regular meetings. It is not clear how much collaboration is already existing._x000D_
(iv) It proposes to reach out to other experts in the field by regular visits and collaborations._x000D_
(iv) It is not clear how the foundational questions arising in the fields of mathematics and computer science will be addressed because the team lacks expertise in this respect._x000D_
_x000D_
Overall, this is a proposal that meets most of the criteria of the solicitation. It even claims that no other group can have the facility advantage of the kind the team will have. However, the proposal misses on the crucial aspect of TRIPODS which aims to develop foundational concepts of data science. It is shallow in this respect._x000D_
_x000D_
Summary Statement_x000D_
_x000D_
This is not a proposal that meets the criteria of TRIPODS call for proposal. It lacks the foundational aspect of the data science development both in algorithmic theory and mathematics._x000D_
_x000D_
_x000D_
</t>
  </si>
  <si>
    <t xml:space="preserve">In the context of the five review elements, please _x000D_
evaluate the strengths and weaknesses of the proposal with respect to intellectual merit._x000D_
_x000D_
+The proposal propose methodological research for important research problems in biomedical and health sciences. _x000D_
_x000D_
+the research expertise include biostatistics, math(stat) and machine learning._x000D_
_x000D_
- Not enough novelty/depth for the propose research methodologies_x000D_
_x000D_
-no component of foundation theory for the proposal _x000D_
_x000D_
_x000D_
In the context of the five review elements, please _x000D_
evaluate the strengths and weaknesses of the proposal with respect to broader impacts._x000D_
_x000D_
+ involve schools which traditionally receive relatively little funding _x000D_
_x000D_
+ involve school outside JHU_x000D_
_x000D_
+good plan for making online video disseminating their research _x000D_
_x000D_
- does not have a good education plan (no plan of involving students (graduate or undergraduate  students) 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 TRIPODS center at JHU for research and training related to massive health data. The research component focuses on proposing methodological research for biomedical data including multi-omics data, wearable biosignal, and neural-imaging data. _x000D_
Some strength of the proposal include:_x000D_
+good quality of the team including well-known biostatistician who has extensive experience dealing with health-data  and mathematicians with experience analyzing high-dimensional data. _x000D_
+the proposal aims to address important problems in biomedical science. There is critical need for developing reliable and efficient methodological for the type of data the team proposes to analyze. _x000D_
+the research teams involves researchers from University of Montana and University of Wyoming which traditionally receive relatively little research funding._x000D_
_x000D_
Weaknesses_x000D_
-there does not seem to be any foundational theory proposed. this proposal serves more like a standard methodological proposal instead of a proposal that lays theoretical foundation for data science.  The proposal seems to be lacking appropriate vision for the foundation of data science. _x000D_
-there are also some concern about the novelty of the methodologies proposed for analyzing various  type of health-data described in the proposal. Most of the methods seem to be somewhat straightforward extension of some existing methods in the literature. And the literature is largely missing (with such a small number of references cited in the proposal)._x000D_
_x000D_
-There is not enough Transdisciplinarity/Synergy among cs, math and stat. This is more of standard stat proposal with some necessary machine learning skills required for implementing the methods._x000D_
_x000D_
-the proposal is also lacking an clear evaluation plan for success_x000D_
_x000D_
-The education plan is also somewhat weak. There is no plan for involving graduate students or undergraduate students or training other workforce._x000D_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</si>
  <si>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center at Johns Hopkins University. The Institute will be dedicated to research, training, collaboration, and translation of the developed methodology and theory for massive health data, such as omics, continuous biosignals, and neuroimaging data. The particular aims of the project are: 1) building the multi-omics core, 2) building the wearable computing and biosignal core, 3) building the neuroimaging core, and 4) building the teaching, translation, and reproducibility core.  _x000D_
_x000D_
_x000D_
b)	Did the proposal identify specific research topics and clearly describe the roles of the mathematics, theoretical computer science, and statistics communities in addressing these foundational challenges?_x000D_
_x000D_
The proposal aims to develop new methods for analyzing three types of health data, multi-omics, wearable and biosignal, neuroimaging  data. It targets two common problems appeared in analyzing such data, high dimensionality, and connectivity, graph theoretic, and graph-modeling approaches, an plans to incorporate and refine analytical methods to study the determinants of disease in large and complex systems. _x000D_
_x000D_
The proposal did a good job in identifying the research problems. However, it is not clear what are the roles of  the mathematics, theoretical computer science, and statistics communities in dealing with these challenges and how they interact with each other. _x000D_
_x000D_
c) Did the proposal describe novel center-like activities? _x000D_
_x000D_
The proposed center spans over three different universities (JHU, Univ. of Wyoming, and Univ. of Montana) and thus provides the training opportunities of big-data health-analytics to students in Univ. Wyoming and Univ. Montana, which are often not accessible to such training. The center-like activities also include disseminating developed methods (as web tools) on fully documented platforms (developed by the PI), and developing massive open online courses for teaching and educational activities.  _x000D_
_x000D_
The educational, training, and center-building activities are very sketching and need to be greatly strengthened.  _x000D_
_x000D_
_x000D_
_x000D_
_x000D_
_x000D_
d)	Please comment on the Interaction and Synergy among the 3 communities._x000D_
_x000D_
The PIs include researchers from mathematics and statistics, but no theoretical computer scientist. The interaction and Synergy among the 3 communities are not very clear.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adequately addressed the broad themes of application aware foundational research, End-to-end provenance, reproducibility, privacy, fairness, and dynamic aspects of data,  but is weak in other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_x000D_
The project will tightly integrate the expertise in big biological and health-related data at JHU with scientific methods, experimental design, and inference developed at JHU, University of Montana, and University of Wyoming. _x000D_
_x000D_
It will stimulate analytic and computational cross-pollination between researchers traditionally focused multi-omics, wearable computing, or neuroimaging. _x000D_
_x000D_
The developed method could be used to discover usable information from big data that can be translated and used in small, but crucially important, targeted confirmatory experiments._x000D_
_x000D_
It will develop an open access and scalable teaching platform (using Online Open Courses)  and brings educational and training opportunities to the public. _x000D_
_x000D_
_x000D_
_x000D_
b)	Did the proposal identify specific broader impact activities and clearly describe the roles of project personnel in addressing these challenges?_x000D_
_x000D_
The proposal has specified activities and roles for the involving personnel._x000D_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identified some common challenges in analyzing biological and health data. But the proposed research seems to be more on the application and refinement of some existing statistics and data analytics method.  It is not clear how the proposed method can be the theoretical foundations of data science. The research team is missing a theoretical computer scientist. _x000D_
_x000D_
_x000D_
_x000D_
b.	Does the proposal address the 'broad themes of the program' listed in the Program Description?_x000D_
_x000D_
The proposal adequately addressed some of the broad themes, such as application aware foundational research, End-to-end provenance, reproducibility, privacy, fairness, and dynamic aspects of data, but is insufficient in others. _x000D_
_x000D_
c.	Does the proposal address strategies for workforce development, including novel educational and training activities?_x000D_
_x000D_
The proposed open platform (for disseminating developed methods) and Online line courses are interesting and novel._x000D_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bringing together theories and approaches mainly from mathematics and statistics. _x000D_
_x000D_
e.	Vision: Is there a strong case for the ability to identify and articulate a vision for the foundations of data science? _x000D_
_x000D_
The vision for the foundations of data science seems to be a little weak._x000D_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expertise of the PIs complement each other. But the expertise of theoretical computer science is lacking. _x000D_
_x000D_
g.	Is there a well-developed plan for communication and interaction with the domain sciences and industry?_x000D_
_x000D_
The proposal has a good way to communicate and interact with the domain sciences and industry through open platform and online courses. _x000D_
_x000D_
_x000D_
h.	Does the proposal provide a clear plan and rationale for an investment of the size proposed, including clear plans to develop capacity for potential future Phase II operations?_x000D_
_x000D_
It addressed the issue for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It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collaboration and evaluation plan has a clear plan for ongoing assessment of all institute activities._x000D_
_x000D_
Summary Statement_x000D_
_x000D_
This proposal aims to establish a center in JHU for  fostering the research, training, collaboration, and translation (of the developed methodology and theory) for massive health data. _x000D_
_x000D_
The proposal has identified some common challenges in biological and health data analytics. It is not clear that solutions to such challenges are strong enough to form the expected theoretical foundations for data science. _x000D_
_x000D_
The research team lacks a theoretical computer scientist. _x000D_
_x000D_
_x000D_
_x000D_
_x000D_
</t>
  </si>
  <si>
    <t>1740576</t>
  </si>
  <si>
    <t>Sellers</t>
  </si>
  <si>
    <t>tkimbrel</t>
  </si>
  <si>
    <t>The panel elected not to discuss this proposal in depth.  Thus, the panel rating is Not Discussed in Panel and no panel summary was produced.  The panel agreed that the individual reviews provide adequate feedback and rationale for the panel rating.</t>
  </si>
  <si>
    <t>UU0824515</t>
  </si>
  <si>
    <t>Ergun</t>
  </si>
  <si>
    <t>fergun@indiana.edu</t>
  </si>
  <si>
    <t xml:space="preserve">In the context of the five review elements, please _x000D_
evaluate the strengths and weaknesses of the proposal with respect to intellectual merit._x000D_
_x000D_
This proposal aims to set up collaboration between GU and GWU, named BiGeorge Data Science Institute, in the Washington DC area, dedicated to analyzing high dimensional large data sets, data streams and matrices with noise, missing values, and non-stationarity. The program involves Department of Mathematics and Statistics and the Department of Computer Science at GU, as well as Departments/programs of Computer Science, Mathematics and Statistics, Data Analytics at GWU. The proposal describe three thrusts related to these topics, and lay out which experts from which fields will be involved in each one. They propose to organize two workshops (one on Data Matrices and one on Data Streams), four Week-long Interdisciplinary Collaboration Collectives (WICCs), and near-monthly regional seminars per academic year. A postdoctoral researcher, two PhD students, a Masters student, and two undergraduate students will be funded by the Institute._x000D_
_x000D_
In terms of research problems, they will consider matrix and tensor decompositions, spectral methods, streaming algorithms, unsupervised learning, online matrix learning, etc._x000D_
_x000D_
The team will be involved in developing courses for four data science related programs in their respective insitutions. In terms of engagement with other institutions in the area, it is written that "A board of advisors at GU, GWU, Howard University, and Johns Hopkins University will ensure broad participation and impact in the greater Washington DC area."_x000D_
-----------------------_x000D_
- The sub-areas the proposal mentions are important in data science, and would benefit from collaboration among departments listed. While I did feel that some of the questions mentioned were too narrow for the kind of proposal that this is (it sometimes reads more like a regular theory research proposal), some were too broad, so a more consistant approach would have been more instructive for the reader. I suspect this is because the research plan is tailored to the individiual research endeavors of the PIs rather than on the synergy that they will create. That makes it a bit hard to imagine how and why the division of labor will be implemented. (The division of labor is stated very clearly at the end of the proposal, but it is still not entirely clear why the suggested degree of collaboration is necessary or beneficial, and how these are decided/implemented.) _x000D_
_x000D_
In terms of benefiting society, the results are probably too theoretical for that, but the questions based on noise, etc are certainly relevant for real data and real problems. There are not any serious plans for the proposed activity to benefit society outside of the immediate scientific community, and the overall plans for workshops, seminars, etc. are pretty standard so I did not see incredible synergy or novelty there._x000D_
_x000D_
There is some effort in being application-aware (due to observing characteristics of data that make it non-perfect), some effort in unifying curricula in terms of course design._x000D_
_x000D_
- The topics of streams and matrices are of course extremely important (and interesting), and original work in those would have impact on the landscape of big data. In general, however, I feel the topics are too closely tied to individuals, and I don't see how bringing various disciplines together is transformative here. It is very nice that the personnel to be involved in each particular problem is explicitly spelled out -- while this may change as the research progresses, it shows that a good deal of thought went into defining these research areas, however, a high-level marrying of the topics did not catch my eye._x000D_
_x000D_
- The plan is well organized, based on sound and well-thought out rationale. The definition of success is standard, but there is a detailed plan of a timeline and how the research follows is. The assessment plan is a general, one sentence statement. _x000D_
_x000D_
- The strength of the group, by and large is appropriate, with some very strong members. Again, I would've liked to see a better indication of how they will operate together._x000D_
_x000D_
- The resources and the support from the institutions, including the various data science-related programs, should meet the needs of such a proposal for Phase I._x000D_
_x000D_
_x000D_
_x000D_
In the context of the five review elements, please _x000D_
evaluate the strengths and weaknesses of the proposal with respect to broader impacts._x000D_
_x000D_
The topics are very theoretical, so it is not easy to talk about societal implications, other than the fact that some real life problems will be helped by the development of some of the techniques here. In general, bringing together area universities as well as different departments within these universities would be a good development for the advancement of STEM, but this is not a point that is made strongly. There is a plan for workshops etc (see above notes) that will benefit the research community and students._x000D_
_x000D_
_x000D_
_x000D_
Please evaluate the strengths and _x000D_
weaknesses of the proposal with respect to any additional solicitation-specific review criteria, if _x000D_
applicable_x000D_
_x000D_
The proposal defines research, and relies on existing DS problems in the institutions to form the glue among the groups. This works moderately well to set up a basis for such work, but an explicit and innovative plan for synergy would be more interesting. It does address the broad themes, there is a good understanding of the individual expertise of the groups and the problems. Going from there to a joint effort the plan could be more seamless._x000D_
_x000D_
The research and training activities are fairly standard, I did not find them novel or transformative. They do show a good understanding of the field, just not very cohesive. Thus I have some questions about the synergy and the vision. The expertise does cover the needed domain, and the roles for each research problem are clearly explained. There is some mention of the Census Bureau but not in a very concrete way._x000D_
_x000D_
In general, this reads more like a theory proposal with researchers from various departments than a center proposal. Given the collaboration, education, assessment plans, it does not strike me as a strong project for setting up an even bigger plan in place. I do not see a clear path from here to Phase II for this proposal._x000D_
_x000D_
_x000D_
_x000D_
Summary Statement_x000D_
_x000D_
Data management and postdoc training plans were fine._x000D_
_x000D_
I thought this proposal was not as visionary as what one would want a Phase I proposal that intends to go on Phase II would ideally be._x000D_
_x000D_
_x000D_
_x000D_
</t>
  </si>
  <si>
    <t>PX0942239</t>
  </si>
  <si>
    <t>Koutis</t>
  </si>
  <si>
    <t>ioannis.koutis@upr.edu</t>
  </si>
  <si>
    <t xml:space="preserve">In the context of the five review elements, please _x000D_
evaluate the strengths and weaknesses of the proposal with respect to intellectual merit._x000D_
_x000D_
Strengths: +_x000D_
Weaknesses: -_x000D_
_x000D_
+ The project proposes eight different "research thrusts" that cover a broad range of topics in the foundations of data science, including dynamic aspects of data. Each thrusts contains specific components that are interesting and have a reasonable chance of success. _x000D_
_x000D_
- These thrusts appear to be separate research directions of the PIs, and no common thread is provided. _x000D_
_x000D_
- The proposal does not highlight some topic as 'potentially transformative'_x000D_
_x000D_
+ The proposal includes a denomination of the thrusts in a way that each thrust is addressed by a subgroup of PIs coming from different communities. _x000D_
_x000D_
- However, the proposal does not explain (for any of the thrusts) how and why the synergy will advance the topic. So, the above "denomination" is not justified. _x000D_
_x000D_
+ The proposal does include a number of activities that are designed to increase the communication among the communities. _x000D_
_x000D_
- These activities are somewhat standard (roughly speaking, different types of meetings). In this respect the proposal lacks novelty and imagination._x000D_
_x000D_
In the context of the five review elements, please _x000D_
evaluate the strengths and weaknesses of the proposal with respect to broader impacts._x000D_
_x000D_
+ The PIs are well qualified to carry out the proposed research and broader activities._x000D_
_x000D_
+ The PIs have prior contributions of open software, and this is expected for the current proposal as well. _x000D_
_x000D_
- There is no concrete plan for industry engagement, besides invitations to workshops._x000D_
_x000D_
+ Both participating Universities have (or will soon have) related graduate programs._x000D_
_x000D_
- Plans for curriculum unification are not concrete._x000D_
_x000D_
Please evaluate the strengths and _x000D_
weaknesses of the proposal with respect to any additional solicitation-specific review criteria, if _x000D_
applicable_x000D_
_x000D_
- The plans for scalability into a Phase II are *very* limited, only a short paragraph. _x000D_
_x000D_
- The plans for self-assessment are standard, and perhaps not well thought-out for a project of this scope and magnitude. For instance, no organizational details with respect to the proposed Institute are given, and all administrative decisions seem to be described as a collective and distributed (among the PIs) process. Perhaps this is fine, but it is not justified._x000D_
_x000D_
- A major problem with Data Science that TRIPODS tries to address is that it is fragmented between communities that have their own venues of publication, and their own language. In some sense the proposal suffers from this problem as well. For example, one of the thrusts proposes research on spectral algorithms, but the terminology and references all come from the machine learning community and completely exclude any 'input' from theoretical computer science (e.g. Teng and Spielman and their "Laplacian paradigm" is completely absent from the discussion). To an extent this is a problem with all thrusts. _x000D_
_x000D_
Suggestion: The proposal would be much better if for any of the proposed topics you had done a systematic survey of related works in the 3 communities in order to propose a concrete synergy. Also, it would have been useful to identify and highlight some topics with a higher transformative potential._x000D_
_x000D_
Summary Statement_x000D_
_x000D_
The team of PIs is strong, and the proposed Institute has an interesting location. I believe that the major weakness is what I perceive as a lack of vision of what Data Science is and how it should evolve. I also consider the lack of clear thoughts about Phase II as a significant problem, as the stated goal of Phase I is to provide this bridge to Phase II._x000D_
_x000D_
</t>
  </si>
  <si>
    <t>GS0989253</t>
  </si>
  <si>
    <t>Temple Lang</t>
  </si>
  <si>
    <t>dtemplelang@ucdavis.edu</t>
  </si>
  <si>
    <t xml:space="preserve">In the context of the five review elements, please _x000D_
evaluate the strengths and weaknesses of the proposal with respect to intellectual merit._x000D_
_x000D_
The institute proposal involves outreach, training and research. _x000D_
The research areas are broadly Data Matrices and Data Streams, and then the combination of data matrices in the context of data streams.  The aim is unify the research across the different disciplines on these topics. The research areas involve matrix approximation and factorization with mathematical and statistical guarantees of accuracy, and efficient algorithms.  _x000D_
_x000D_
There is not as much on parallelism as in many of the other proposals._x000D_
_x000D_
The proposal starts by focusing on the activities and how the communities will be brought together, rather than primarily focusing on the research. This is good._x000D_
_x000D_
Each of the suggested institute/community activities is good.  Unfortunately, I fear there may be too few of them to give the institute visibility and get the PIs and others to see it as a vibrant part of their everyday work. It seems like people will come together and then return back to their typical work and field._x000D_
This is not unique to this proposal. However, if the number of each activities were scaled a somewhat, this could be avoided and the structure would be better than most proposals I have read._x000D_
_x000D_
Monthly seminars, only 4 week-long work group meetings over 3 years, 2 three-day workshops seems too few opportunities to come together._x000D_
_x000D_
The week long workshops are very important and a good idea._x000D_
_x000D_
The Data Matrices research involves factorization and approximations and algorithms to do this.  In the Data Streams research, the idea is to leverage more favorable assumptions than the worst-case ones under which many streaming algorithms were developed. It also brings streaming algorithm technology_x000D_
from CS to bare on tasks from the statistics community.  It is not clear that there is explicit collaboration or merely a transfer of problem and/or solution between the communities._x000D_
_x000D_
There is potential for synergy, specifically with the week-long work groups. However, there is still a long way to go to ensure actual collaboration._x000D_
Perhaps this will happen between the 4 co-located PIs, but what of the other participants._x000D_
_x000D_
Some of the remarks in the proposal seem to suggest applying knowledge from one discipline to problems in the other but did not explicitly indicate that there would be collaboration. Instead, there was some sense that the work would be_x000D_
done within one field and made available to the other (e.g., algorithms for statistics problems on data streams).  Again, the limited "together" time makes the collaborations and synergies less likely._x000D_
_x000D_
The proposal does address identifying common concepts and different terminologies._x000D_
_x000D_
While the proposal provides examples of application areas, the research does not appear to be connected with explicit applications._x000D_
_x000D_
There is potential for government and possibly industry engagement. But this seems more aspirational._x000D_
_x000D_
The curricula development is to add to the existing Masters programs in the two institutions.  There does not seem to be efforts to unify across the disciplines or to connect to the other (e.g. Undergraduate) programs._x000D_
_x000D_
There is no focus on the important non-CS/Math/Stat aspects of Data Science, e.g., provenance, reproducability, ethics, governance, ..._x000D_
The data streams is the dynamic aspect of the data._x000D_
_x000D_
There is only one PI from George Washington University and 5 from Georgetown University.  This imbalance may limit active involvement by others at GWU._x000D_
_x000D_
The Data Matrices research topics (thrusts) have value._x000D_
The description seems to come from the Math perspective and does not seem to involve Statisticians or Computer Scientists necessarily._x000D_
Also, the authors outline solutions for some of the questions and have done some of the work.  So where is the opportunity for other disciplines to be involved?_x000D_
_x000D_
It is not clear if there will be a single postdoc for the duration of the project (or just 2 years) or also if the 6 graduate students will be the same across the lifetime of the grant._x000D_
_x000D_
_x000D_
_x000D_
In the context of the five review elements, please _x000D_
evaluate the strengths and weaknesses of the proposal with respect to broader impacts._x000D_
_x000D_
The broader outreach includes seminars to the public, training of students, etc._x000D_
and all seem good. However, I'd like to see more interaction and events._x000D_
There is mention of diversity and assurances of success, but no plan or details._x000D_
_x000D_
_x000D_
Please evaluate the strengths and _x000D_
weaknesses of the proposal with respect to any additional solicitation-specific review criteria, if _x000D_
applicable_x000D_
_x000D_
a) Yes, the research is well integrated and the training is entirely connected to that._x000D_
_x000D_
b) Yes, the research and training address the broad goals of the program_x000D_
_x000D_
c) There are not many students involved (6 graduates, 1 masters and 5 undergraduates and Postdoc)._x000D_
The plan is to have them involved  in the research and workshops, etc._x000D_
_x000D_
d) Of the 8 thrusts/specific problems, only 2 involve PIS from all of CS, Stat and Math_x000D_
_x000D_
e)  The PIs will be able to provide some vision for articulating the foundations of data science. However, the research may be a little too method/problem-specific to bring the grand overarching vision.  Also, some of the PIs are quite recent graduates which may mean they have less experience to provide the broad vision. However, I applaud them for a very nice proposal._x000D_
_x000D_
f) The expertise seems to be present with different levels of experience._x000D_
The roles  are clear. However, not all PIs, or all disciplines, are equally involved across the thrusts._x000D_
_x000D_
g) No, the proposal does not mention explicit connections to  domain sciences or industry._x000D_
The authors indicate that there are application areas for the work, but not that they are actually working on them_x000D_
or adapting their work because of the  applications' nuances._x000D_
However, several of the PIs  do seem to work in applied areas, so it is unfortunate that they did not make this_x000D_
important connection to the application areas._x000D_
_x000D_
h)_x000D_
Yes the proposal does a reasonable job in justifying the investment._x000D_
The plan does address Phase II. There are planned expansions of the same ideas._x000D_
They believe it is simple to add more people, although that may be somewhat optimistic._x000D_
_x000D_
i)_x000D_
The proposal provides a cursory evaluation plan for the research using the usual papers and software outputs._x000D_
For the outreach and education, they will count the number of attendees and get feed back via a survey._x000D_
However there are no explicit outcomes that would indicate success._x000D_
_x000D_
j) Yes, the PIs will evaluate each activity and adapt future activities based on their findings._x000D_
There does not appear to be an explicit mechanism  in the porposal to evaluate the research activities._x000D_
I believe they think they work closely together so this isi implicit._x000D_
_x000D_
_x000D_
Summary Statement_x000D_
_x000D_
Ranking:  Good_x000D_
_x000D_
The biggest issue is getting critical mass of people and time spent together working on problems and continuity in this effort.  I fear that the interactions with be short and intense but too long between them to bring this to the forefront of anyone's work  or priorities._x000D_
_x000D_
The PIs seem to do some work in domain sciences and they should leverage this in the proposal. Unfortunately, it is not mentioned._x000D_
_x000D_
As with several of these proposals, it is possible that the work in a problem would  be done only within one of the 3 fields, and that the synergistic effect not necessarily is present. I think it is possible that there are real synergistic opportunities in this project by, e.g.,  connecting a person in statistics and a person in data streams, but the proposal doesn't make this clear and I am inferring this._x000D_
_x000D_
_x000D_
_x000D_
</t>
  </si>
  <si>
    <t>The BiGeorge (BiG) Data Science Institute is a proposed DC-area collaboration between Georgetown (GU) and George Washington (GWU) universities that is dedicated to designing, elucidating, and disseminating techniques for analyzing massive, high-dimensional data sets and data streams with noise, missing values, and non-stationarity. Many real-world data sources exhibit such practical challenges, e.g. weather and environment, survey collection, economics, network monitoring, and genomics data. This proposal addresses these challenges by building an interdisciplinary institute that bridges mathematics, theoretical computer science, statistics, and machine learning to develop the foundations of Data Science. Vertically integrated training will educate researchers at all levels (from post-doctoral scholar to undergraduates) through focused collective training and mentorship. Outreach activities (e.g. workshops, seminars, visiting scholar programs) hosted by the institute will attract and service DC-area researchers in academia, government, and industry.Data science is on the cusp of leading to major breakthroughs in a variety of fields, as evidenced in part by the success of the interdisciplinary field of bioinformatics. Yet the state-of-the-art in data science is currently fragmented among the fields of statistics, mathematics, theoretical computer science, and machine learning. Two of the most fundamental data representation models, data streams and data matrices, are studied from different angles among these fields. The proposed work will bridge this gap by laying the groundwork for a bi-university, cross-disciplinary institute, dedicated to the study of data science. Fusing expertise from all of these fields, the proposed research will both solidify and advance the understanding of data streams and data matrices. Algorithms to manage and analyze data will be designed in both of these settings, as well as for problems at their intersection. In particular, the proposal will significantly advance the study of techniques for data summarization and latent structure discovery, including (1) algorithms for analyzing data streams, (2) matrix approximation and factorization techniques, and (3) innovations combining these two topics. Given the fundamental nature of the problems studied, the proposed research is likely to be transformative to a range of data-rich disciplines.The Washington, DC area is poised to be a focal point for the advancement of data science, with the potential to impact a range of societally beneficial applications. The proposed institute leverages this opportunity by building a bridge between two proximal universities with diverse strengths. Moreover, the institute's board of advisors at GU, GWU, Howard University, and Johns Hopkins University (JHU), along with team members' affiliations at the Census Bureau and the JHU Applied Physics Laboratory, will ensure broad participation and impact in the greater DC area. The proposed institute will host: (1) a near-monthly seminar series alternating between the GU and GWU campuses, (2) workshops, and (3) week-long visiting scholar programs that promote research collaborations, exposure, and networking. Workshops will create a forum for discussing the project themes. By addressing topic fragmentation amongst the fields of statistics, computer science, and mathematics, new connections will be forged between these communities. Workshop discussions will motivate subsequent Week-long Interdisciplinary Collaboration Collectives (WICC) to foster research projects in their inception. This program will include an evening seminar series (open to the public) where invited scholars educate DC-area researchers. A postdoctoral researcher, two PhD students, a Masters student, and two undergraduate students will be supported and trained to develop theory, implement algorithms, and carry out computational experiments related to institutional themes. Institute research and program developments will be disseminated through published works, conference presentations, and shareable computational software. The diverse proposing team is committed to broadening participation in computing and STEM.</t>
  </si>
  <si>
    <t>1740584</t>
  </si>
  <si>
    <t>Gill</t>
  </si>
  <si>
    <t>Recommended</t>
  </si>
  <si>
    <t xml:space="preserve"> Panel Summary       
 Description: This proposal aims to create a pipeline from theory to practice that uses topological data analysis and harmonic analysis as inputs to a machine learning pipeline used to examine problems from biomedicine and the social sciences. The data science institute focusing on this theme would be located in St. Louis jointly between Washington University in St. Louis and St. Louis University. Planned institute activities include a workshop in the second year, a local seminar series, curricular developments, and a supported software package. _x000D_
_x000D_
Intellectual Merit: _x000D_
Within the over-arching pipeline described, specific research problems to be addressed include handling outliers within persistent homology, incorporating harmonic analysis into topological data analysis, active preference learning, and use of these methods in application domains (especially including biomedicine and the social sciences). While the over-arching pipeline was seen as a compelling idea, the panel expressed worries that tying the institute to a single pipeline vision may be limiting - either the solving the problem of effectively using persistent topology for data analysis under robustness might be too hard, stopping the institute from making progress, or it might be too easy, ending the research too soon. There were also concerns that the later stages of the pipeline - the harmonic analysis, active learning, and application portions did not contain clearly ambitious research agendas. _x000D_
_x000D_
Strengths _x000D_
+ The end-to-end pipeline that has the potential to bring TDA into practice. _x000D_
+ The connections to applications are strong and appropriately include a needed focus on software development to make that happen. _x000D_
_x000D_
Weaknesses _x000D_
- The risk inherent in extending persistent homology to work with outliers. _x000D_
- The pipeline strongly hinges on the ability to develop wavelets that preserve topological features. This is an ambitious and presumably hard goal but the PIs fail to give a concrete path on how they plan to clear that hurdle. _x000D_
_x000D_
Broader Impact: _x000D_
The broader impacts proposed for this project include curricular developments, research connections and impacts in the social sciences and biomedicine, and training of undergraduate and graduate students and postdoctoral researchers. _x000D_
_x000D_
Strengths _x000D_
+ The connections to biomedicine and the social sciences are well integrated into the proposal and the team. _x000D_
+ The importance of the curricular developments and connections within the two university context is clearly articulated. _x000D_
_x000D_
Weaknesses _x000D_
- No real attention is paid to the participation and retention of underrepresented groups in the broader impacts section (though results from previous NSF support demonstrate commitment to these issues that it would be great to see carried forward)._x000D_
_x000D_
TRIPODS-specific criteria: _x000D_
_x000D_
Strengths _x000D_
+ The PIs have existing collaborations (demonstrated by publications). _x000D_
+ The co-location of the universities provides the chance for broad local impact. _x000D_
+ The clear tie-ins to important application areas. _x000D_
_x000D_
Weaknesses _x000D_
- The Phase II operations / aspirations are not fleshed out. _x000D_
- The institute activities are narrow and, aside from the workshop, locally focused. _x000D_
_x000D_
_x000D_
Collaboration and Evaluation Plan: The PIs demonstrate existing collaborations and a plan and enthusiasm for building on those. _x000D_
_x000D_
Data Management Plan: The data management plan includes appropriate plans for open-sourcing the software (github under a GNU GPL license) and carefully justifies the lack of need for human subjects approval for the patient data that will be used. _x000D_
_x000D_
Post-doctoral Mentoring Plan: The postdoctoral mentoring plan builds on the large number of co-located faculty for collaboration and focuses on communication, research, and writing skills._x000D_
_x000D_
What is bold, exciting, high risk/reward, or potentially transformative? Topological data analysis has not been used much in practical applications, perhaps because the deep theoretical knowledge needed has not yet been combined with the specifics of usage in application domains. This proposal provides the opportunity to address this issue and package it as reusable software. _x000D_
_x000D_
Suggestions to PI: The over-arching pipeline goal is compelling, but the panel would have liked to see more focus on the novelty of each individual component, with clear research questions defined. _x000D_
_x000D_
Justification for Panel Rating: The panel was not in consensus - some members felt that the over-arching pipeline goal justified a high rating, while others felt that the risk and lack of precise research questions for some stages of the pipeline demonstrating novelty and expertise justified a lower rating. _x000D_
_x000D_
Panel Rating: _x000D_
_ Highly Recommended _x000D_
X Recommended _x000D_
_ Not Recommended _x000D_
_x000D_
The summary was read by/to the panel and the panel concurred that the summary accurately reflects the panel discussion.  
</t>
  </si>
  <si>
    <t xml:space="preserve">Proposal ID: CCF 1740584, 1740589_x000D_
PI: Jeff Gill, Erin Chambers_x000D_
Institution: Washington University, Saint Louis University_x000D_
Title: Collaborative Research: Theoretical and Human-centered Data Science_x000D_
_x000D_
Dear Professor Gill,_x000D_
_x000D_
I regret to inform you that your NSF collaborative proposal CCF 1740584 has been recommended for declination. _x000D_
_x000D_
The reviews and panel summary, which are available through FastLane, provide the basis for the recommendation made by the TRIPODS Management Team.  _x000D_
_x000D_
If you have any questions about the review process, feel free to contact me.   _x000D_
_x000D_
Sincerely,_x000D_
_x000D_
Nandini Kannan_x000D_
nakannan@nsf.gov_x000D_
_x000D_
-----------------------------------------------------------------------------------------------------------------------------_x000D_
These comments are the review analysis I prepared in support of my recommendation for this proposal._x000D_
_x000D_
Context: _x000D_
_x000D_
This project was submitted to the program solicitation NSF 16-615, Transdisciplinary Research in Principles of Data Science (TRIPODS) Phase I. The context statement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Panel Review: _x000D_
_x000D_
This proposal was reviewed by a panel consisting of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Panel Ratings and Ranking: _x000D_
_x000D_
This proposal received reviews of F, V/G and E and was placed in the Recommended category. _x000D_
_x000D_
Overview:  _x000D_
_x000D_
This project focuses on combining topological data analysis and harmonic analysis to develop algorithms for identifying structure in complex data.  A machine learning pipeline, building on these algorithms, will be developed to analyze images, graphs and networks, and temporal data.  _x000D_
_x000D_
Intellectual Merit: _x000D_
_x000D_
The reviewers and panel agreed that the topics related to persistent homology and Bayesian optimization were interesting but felt that the innovation of the proposed research directions was not well-articulated.  Some reviewers felt that the goal of building a pipeline was compelling and appreciated the connections to applications from the biomedical and social sciences.  However, other reviewers expressed concerns, noting that the pipeline "strongly hinges on the ability to develop wavelets that preserve topological features", and expressed concerns that the PIs did not present a clear path to address potential challenges with the proposed approach.   _x000D_
_x000D_
Broader Impacts: _x000D_
_x000D_
The PIs briefly describe plans to develop curriculum at the graduate level, including a course that explores the connections between topological data analysis and harmonic analysis.  The PIs have excellent records of collaborations with social and biomedical scientists.  Plans for developing open source software are described.  Reviewers would have liked to see more details of the educational and training activities and plans for recruitment. _x000D_
_x000D_
TRIPODS Specific Review Criteria:_x000D_
_x000D_
Reviewers would have liked to see a more detailed plan for integration of the research, education and training activities, and felt that the plans for Phase II operations were not fleshed out. _x000D_
_x000D_
One reviewer rated the proposal as Excellent, noting the project's "focus on developing usable tools and automating parameter optimization".  However, the reviewer shared the panel's concerns about the lack of discussion of the challenges. _x000D_
_x000D_
Analysis and recommendation:_x000D_
_x000D_
While the panel liked many aspects of the research, there were concerns about the novelty of the topics and lack of discussion of the technical challenges and how these might be overcome.  The description of the educational and training activities was also viewed as lacking. 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 _x000D_
_x000D_
The TRIPODS Management Team recommends that this proposal be declined. _x000D_
_x000D_
Nandini Kannan, Program Officer _x000D_
Division of Mathematical Sciences _x000D_
Aug 9, 2017 _x000D_
_x000D_
On behalf of the TRIPODS Management Team _x000D_
Nandini Kannan _x000D_
Tracy Kimbrel _x000D_
Jack Snoeyink _x000D_
Christopher Stark_x000D_
</t>
  </si>
  <si>
    <t>1740589</t>
  </si>
  <si>
    <t>Proposal ID: CCF 1740584, 1740589 _x000D_
PI: Jeff Gill, Erin Chambers _x000D_
Institution: Washington University, Saint Louis University _x000D_
Title: Collaborative Research: Theoretical and Human-centered Data Science _x000D_
_x000D_
Dear Professor Chambers, _x000D_
_x000D_
I regret to inform you that your NSF collaborative proposal CCF 1740589 has been recommended for declination. _x000D_
_x000D_
The reviews and panel summary, which are available through FastLane, provide the basis for the recommendation made by the TRIPODS Management Team. _x000D_
_x000D_
If you have any questions about the review process, feel free to contact me. _x000D_
_x000D_
Sincerely, _x000D_
_x000D_
Nandini Kannan _x000D_
nakannan@nsf.gov _x000D_
_x000D_
----------------------------------------------------------------------------------------------------------------------------- _x000D_
These comments are the review analysis I prepared in support of my recommendation for this proposal. _x000D_
_x000D_
Context: _x000D_
_x000D_
This project was submitted to the program solicitation NSF 16-615, Transdisciplinary Research in Principles of Data Science (TRIPODS) Phase I. The context statement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Panel Review: _x000D_
_x000D_
This proposal was reviewed by a panel consisting of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Panel Ratings and Ranking: _x000D_
_x000D_
This proposal received reviews of F, V/G and E and was placed in the Recommended category. _x000D_
_x000D_
Overview: _x000D_
_x000D_
This project focuses on combining topological data analysis and harmonic analysis to develop algorithms for identifying structure in complex data. A machine learning pipeline, building on these algorithms, will be developed to analyze images, graphs and networks, and temporal data. _x000D_
_x000D_
Intellectual Merit: _x000D_
_x000D_
The reviewers and panel agreed that the topics related to persistent homology and Bayesian optimization were interesting but felt that the innovation of the proposed research directions was not well-articulated. Some reviewers felt that the goal of building a pipeline was compelling and appreciated the connections to applications from the biomedical and social sciences. However, other reviewers expressed concerns, noting that the pipeline "strongly hinges on the ability to develop wavelets that preserve topological features", and expressed concerns that the PIs did not present a clear path to address potential challenges with the proposed approach. _x000D_
_x000D_
Broader Impacts: _x000D_
_x000D_
The PIs briefly describe plans to develop curriculum at the graduate level, including a course that explores the connections between topological data analysis and harmonic analysis. The PIs have excellent records of collaborations with social and biomedical scientists. Plans for developing open source software are described. Reviewers would have liked to see more details of the educational and training activities and plans for recruitment. _x000D_
_x000D_
TRIPODS Specific Review Criteria: _x000D_
_x000D_
Reviewers would have liked to see a more detailed plan for integration of the research, education and training activities, and felt that the plans for Phase II operations were not fleshed out. _x000D_
_x000D_
One reviewer rated the proposal as Excellent, noting the project's "focus on developing usable tools and automating parameter optimization". However, the reviewer shared the panel's concerns about the lack of discussion of the challenges. _x000D_
_x000D_
Analysis and recommendation: _x000D_
_x000D_
While the panel liked many aspects of the research, there were concerns about the novelty of the topics and lack of discussion of the technical challenges and how these might be overcome. The description of the educational and training activities was also viewed as lacking. 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 _x000D_
_x000D_
The TRIPODS Management Team recommends that this proposal be declined. _x000D_
_x000D_
Nandini Kannan, Program Officer _x000D_
Division of Mathematical Sciences _x000D_
Aug 9, 2017 _x000D_
_x000D_
On behalf of the TRIPODS Management Team _x000D_
Nandini Kannan _x000D_
Tracy Kimbrel _x000D_
Jack Snoeyink _x000D_
Christopher Stark</t>
  </si>
  <si>
    <t xml:space="preserve">In the context of the five review elements, please _x000D_
evaluate the strengths and weaknesses of the proposal with respect to intellectual merit._x000D_
_x000D_
(I had entered a review for this proposal by mistake)._x000D_
_x000D_
In the context of the five review elements, please _x000D_
evaluate the strengths and weaknesses of the proposal with respect to broader impacts._x000D_
_x000D_
(I had entered a review for this proposal by mistake)._x000D_
_x000D_
Please evaluate the strengths and _x000D_
weaknesses of the proposal with respect to any additional solicitation-specific review criteria, if _x000D_
applicable_x000D_
_x000D_
(I had entered a review for this proposal by mistake)._x000D_
_x000D_
Summary Statement_x000D_
_x000D_
(I had entered a review for this proposal by mistake)._x000D_
_x000D_
</t>
  </si>
  <si>
    <t>UH0988369</t>
  </si>
  <si>
    <t>Friedler</t>
  </si>
  <si>
    <t>sorelle@cs.haverford.edu</t>
  </si>
  <si>
    <t xml:space="preserve">In the context of the five review elements, please _x000D_
evaluate the strengths and weaknesses of the proposal with respect to intellectual merit._x000D_
_x000D_
This proposal focuses on developing the theory needed for the practical use of topological data analysis for data science, from tools to handle outliers, to parameter optimization, to direct application to social sciences and biomedical applications.  Each of these aspects of the proposal are new and important, and together they make for a compelling focus for an interdisciplinary institute.  The focus on developing usable tools and automating parameter optimization is especially important, as this has been a missing aspect of previous work that has kept these ideas from becoming usable in practice and which requires deep theoretical understanding._x000D_
_x000D_
In the context of the five review elements, please _x000D_
evaluate the strengths and weaknesses of the proposal with respect to broader impacts._x000D_
_x000D_
In addition to being an intellectual contribution, the focus on software development will serve as an important contribution to the broader community.  Mentoring of postdoctoral associates, graduate students, and undergraduates also serve as important impacts. Additionally the proposed research directly impacts biomedical and social work applications._x000D_
_x000D_
Please evaluate the strengths and _x000D_
weaknesses of the proposal with respect to any additional solicitation-specific review criteria, if _x000D_
applicable_x000D_
_x000D_
The proposal introduces clear themes and vision for the institute with a focus on topological data analysis.  The Co-PIs have a strong history of collaboration and a clear plan to support the joint work, including already committed dual institutional support._x000D_
_x000D_
Summary Statement_x000D_
_x000D_
This proposal provides a clear vision and plan of execution that would further the theoretical and practical development of topological data analysis._x000D_
_x000D_
</t>
  </si>
  <si>
    <t>TB0969382</t>
  </si>
  <si>
    <t>Gupta</t>
  </si>
  <si>
    <t>mayagupta@google.com</t>
  </si>
  <si>
    <t xml:space="preserve">In the context of the five review elements, please _x000D_
evaluate the strengths and weaknesses of the proposal with respect to intellectual merit._x000D_
_x000D_
Proposal focuses on research for data at multiple scales via topological data analysis and harmonic analysis, with specifics of wavelet/framelet bases, gaussian process regression, and causal relationships, and enabling interactive discover of latent structure in a human-computer interaction setting using active preference learning._x000D_
_x000D_
Most of the problems described are very mature, and it was not clear how this further work would be impactful on the field. _x000D_
_x000D_
Proposal plan was reasonable and well-organized. _x000D_
_x000D_
Team and institution are proposing activities they have notable expertise and resources for.  I had trouble connecting the dots as to how collaborative the work would be. _x000D_
_x000D_
_x000D_
_x000D_
_x000D_
_x000D_
In the context of the five review elements, please _x000D_
evaluate the strengths and weaknesses of the proposal with respect to broader impacts._x000D_
_x000D_
Sounded like some potentially exciting collaborations lined up, but I couldn't connect the dots as to what exactly was going to happen collaboration-wise or how it would be impactful._x000D_
_x000D_
_x000D_
_x000D_
_x000D_
_x000D_
Please evaluate the strengths and _x000D_
weaknesses of the proposal with respect to any additional solicitation-specific review criteria, if _x000D_
applicable_x000D_
_x000D_
I would have liked to see a clearer plan for how collaborations would happen._x000D_
_x000D_
Summary Statement_x000D_
_x000D_
Overall, the bulk of the research questions did not seem impactful enough to warrant a strong positive review._x000D_
_x000D_
</t>
  </si>
  <si>
    <t>AA0818588</t>
  </si>
  <si>
    <t>Zhang</t>
  </si>
  <si>
    <t>lisa.zhang@nokia-bell-labs.com</t>
  </si>
  <si>
    <t xml:space="preserve">In the context of the five review elements, please _x000D_
evaluate the strengths and weaknesses of the proposal with respect to intellectual merit._x000D_
_x000D_
The technical part of the proposal aims at developing machine learning and statistical analysis tool for studying structure of big data. _x000D_
_x000D_
There are several interesting directions: the PIs aim to study the stability and robustness of persistent homology in the presence of noise and outliers; to study the automatic tuning and parameter choice in Bayesian optimization; to understand data of varying nature (temporal, network/graph, wide data, etc) and varying application domains (text, social, medical etc)._x000D_
_x000D_
+ Proposal is rich in technical content._x000D_
+ The PIs have demonstrated strong work in their respective research areas. _x000D_
_x000D_
- The downside is that sections of the proposal are somewhat disjoint.  The sections on persistent homology and Bayesian optimization are not closely coupled, and they are yet far removed the typology and application domain of the data._x000D_
_x000D_
Overall, the intellectual merit section is strong._x000D_
_x000D_
_x000D_
In the context of the five review elements, please _x000D_
evaluate the strengths and weaknesses of the proposal with respect to broader impacts._x000D_
_x000D_
The broad impact section should be more in depth.  As is, the section has 3 short paragraphs, and discusses student training and targeting big data applications in a quite generic and superficial way._x000D_
_x000D_
Please evaluate the strengths and _x000D_
weaknesses of the proposal with respect to any additional solicitation-specific review criteria, if _x000D_
applicable_x000D_
_x000D_
_x000D_
_x000D_
Summary Statement_x000D_
_x000D_
A strong proposal overall, very good for intellectual merit section and good- for broad impact.  The proposal can be improved if the intellectual merit section is more coherent and the broad impact section is more substantial._x000D_
_x000D_
</t>
  </si>
  <si>
    <t>This proposal outlines a collaborative venture with a novel theoretical and algorithmic focus, joint_x000D_
between Washington University and Saint Louis University. Our team will leverage expertise in_x000D_
topological data analysis and harmonic analysis to develop new algorithms grounded in domain-specific_x000D_
research questions. We will then develop machine learning and statistical analysis tools based on_x000D_
these algorithms for important social science and biomedical applications. To support these efforts,_x000D_
our team of computer scientists, mathematicians, and computer scientists will rely on the geographical_x000D_
closeness as well as established collaboration history between the two institutions; we are also_x000D_
supported by increasing institutional focus on big data analysis at both campuses. We will develop_x000D_
theoretical approaches that combine top-down and bottom-up analysis to generate multi state_x000D_
representations of data based on Haar and wavelet bases induced by persistent homology groups in order_x000D_
to jointly use the (global, higher-order) persistent homology of the data with the (local, fine-grained) wavelet/framelet representation of the data._x000D_
_x000D_
We then propose research towards the goal of automating the tuning and optimization of these_x000D_
representations to enable their use as a tool in machine-learning and data-enabled discovery pipelines._x000D_
One of our primary foci in this area will be the development of a data-driven method for optimizing the_x000D_
tuning of our representation parameters in machine-learning pipelines.  These tools will then be applied_x000D_
to a range of applications data sets in the social and biomedical domains, as influenced by expertise_x000D_
among the collaborative team, which are based in two Colleges of Arts and Sciences as well as two Schools of Medicine.Topological data analysis and harmonic analysis are both adept at looking at data at multiple "scales,"_x000D_
each extracting relevant features depending on the desired level of detail required. We propose to build_x000D_
on recent preliminary work to combine these two approaches and capture both local and global structure_x000D_
in a variety of input types.  These approaches should apply to a variety of settings, including data_x000D_
with an underlying manifold structure (as in medical imaging), graph and network data, and temporal data.The development of foundational theoretical algorithms in the growing area of big data have high_x000D_
transformative potential, given the explosion of big data across multiple areas. Data have have never_x000D_
mattered more to humans, and yet less that 0.5% of all data generated is ever analyzed. Our  machine_x000D_
learning and statistical solutions will be packaged for general scientific audiences and distributed_x000D_
widely for general use thus democratizing sophisticated data science tools. The concentration of_x000D_
applications in this work on social and biomedical problems means that our contributions will make_x000D_
progress on problems in medicine, genetics, social work, and other human-centered areas. The structure_x000D_
of center includes training and mentoring for junior colleagues, postdoctoral research fellows,_x000D_
graduate students, and undergraduate students.</t>
  </si>
  <si>
    <t>1740605</t>
  </si>
  <si>
    <t>Ravishanker</t>
  </si>
  <si>
    <t>_x000D_
The panel elected not to discuss this proposal in depth. Thus, the panel rating is Not Discussed in Panel and no panel summary was produced. The panel agreed that the individual reviews provide adequate feedback and rationale for the panel rating.</t>
  </si>
  <si>
    <t xml:space="preserve">In the context of the five review elements, please _x000D_
evaluate the strengths and weaknesses of the proposal with respect to intellectual merit._x000D_
_x000D_
This proposal focuses on plans to create a ''New England Consortium for the Advancement of Data Science (NECADS)'' beginning with the University of Connecticut (UConn and UConn Health), and University of Massachusetts, Amherst in Phase I and extending to more institutions in New England in Phase II.  The three main research themes are online updating and statistical inference for big spatial and temporal stream data, scalable algorithms for big data, and mathematical and statistical foundations and computational statistics on topological and function spaces.  Themes 1 and 2 (online updating and statistical inference, and scalable algorithms) follow a more traditional 'big data' approach focused on extending statistical and algorithmic approaches to handling data.  Motivating data sets listed in the description of Theme 1 seem appropriate and proposed research activities for both themes strongly feature both statistics and computer science/algorithms.  Theme 3 (computational statistics on topological and function spaces) is perhaps the best suited for combining all three areas (mathematics, statistics, and computer science) and the proposal suggests that, at least for a portion of the proposed research in this area, newly-developed techniques will be applied to other problems studied under this proposal.  This outreach to other projects is a strength, although more detail about the target data sets would strengthen the argument.  The proposal includes a strong focus on industry engagement, building on and extending existing collaborations, in part by focusing on application-aware foundational research.  Developing common terminologies and concepts, unifying curricula, and dynamic aspects of data are addressed modestly and/or indirectly in the proposal.  I did not see end-to-end provenance, reproducibility, privacy, and fairness addressed in the proposal._x000D_
_x000D_
_x000D_
In the context of the five review elements, please _x000D_
evaluate the strengths and weaknesses of the proposal with respect to broader impacts._x000D_
_x000D_
This proposal focuses on forming a consortium (3 institutions in Phase I and more covering the North East in Phase II).  The proposal also seeks to train research fellows (postdocs) and graduate students and offer research opportunities for undergraduates as a part of existing thesis and REU programs at the main institutions and their partners.  They plan to attract additional faculty to data science, presumably from the existing communities rather than through hiring initiatives.  They also plan to develop a Data Science concentration track in an existing M.S. program(s) (e.g. Statistics) and to change the existing Data Science major at UConn into a new interdisciplinary major (with completion in Phase II).  It is not clear to me how this existing major as well as the already funded REU programs would change, if at all, under this proposal.  Dissemination of results through an open access website, a proposed annual competition for transdisciplinary seed grants, and continuing and extending collaborations with Centers and Industry partners are strengths of this proposal._x000D_
_x000D_
_x000D_
_x000D_
_x000D_
Please evaluate the strengths and _x000D_
weaknesses of the proposal with respect to any additional solicitation-specific review criteria, if _x000D_
applicable_x000D_
_x000D_
The proposal presents a clear vision, including strong mission and vision statements.  The proposed projects, including applications, are interesting and important and the PIs have a strong track record of work in this area.  The majority of projects are heavily weighted towards statistics.    Under the broad theme of unifying curricula, the Collaboration and Evaluation Plan includes the development of short course materials with the potential of converting these into regular courses.  This is adequate but not as strong as curriculum work described in many of the other proposals I reviewed.  End-to-end provenance, reproducibility, privacy, and fairness were not explicitly addressed although proposing dissemination of work products via a publicly accessible website, if done correctly, does aid in reproducibility.  The proposal does include a list of centers and industrial partners, including letters of support. Overall, the Collaboration and Evaluation Plan is one of the strongest (top third) I reviewed._x000D_
_x000D_
_x000D_
Summary Statement_x000D_
_x000D_
This is an ambitious proposal involving many people at three institutions with plans to add more institutions and researchers in Phase II.  The proposal was well structured, describing many interesting problems followed by proposed research activities.   I rank this proposal in the middle third of those I've reviewed._x000D_
_x000D_
_x000D_
_x000D_
</t>
  </si>
  <si>
    <t xml:space="preserve">In the context of the five review elements, please _x000D_
evaluate the strengths and weaknesses of the proposal with respect to intellectual merit._x000D_
_x000D_
Strength: +_x000D_
Weakness: -_x000D_
_x000D_
+ The proposed research includes a number of specific research topics, ranging from fundamental mathematics to applications in medicine. _x000D_
_x000D_
+ The focus of TRIPODS is foundations, and some of the specific research topics are indeed interesting in this respect. The inclusion of applications further addresses the call for application-aware research. The research topics also include dynamic aspects of data._x000D_
_x000D_
_x000D_
- There is no clear description on how progress in at least some of the research topics will result from the synergy of the 3 communities. The proposal specifies research groups that will work on each topic and these groups consist of members from at least 2 communities, but it's not clear what each part contributes -- so in some sense this 'denomination' looks artificial and included only to address the TRIPODS specifications._x000D_
_x000D_
- The list of proposed topics is quite extensive, which is expected because the list of coPIs is long. But this results to a description which sometimes is not very informative due to conciseness. It also appears somewhat incoherent._x000D_
_x000D_
+ The PIs are well-qualified for the proposed research. _x000D_
_x000D_
+ There are sufficient center-like activities._x000D_
- The center-like activities are mostly standard, with the exception of potential for industry engagement._x000D_
_x000D_
In the context of the five review elements, please _x000D_
evaluate the strengths and weaknesses of the proposal with respect to broader impacts._x000D_
_x000D_
+ The PIs seem to have done significant work in laying out a plan for industry engagement. _x000D_
_x000D_
+ The proposal includes plans for the development of new courses in data science, and specific steps from further promoting data science in the participating institutions._x000D_
_x000D_
- While it may be expected as a product of the institute activity, there is no explicit mention about efforts to develop common terminologies and concepts. _x000D_
_x000D_
_x000D_
_x000D_
Please evaluate the strengths and _x000D_
weaknesses of the proposal with respect to any additional solicitation-specific review criteria, if _x000D_
applicable_x000D_
_x000D_
+ The proposal is a broad effort that includes two major institutions, that already have a significant educational and research activity in data science. _x000D_
_x000D_
+ There is a sufficiently well articulated vision and mission for the proposed institute. The proposal also includes concrete organizational details, and sufficient center-like activities that support their assessment plan. _x000D_
_x000D_
+ The proposal has the potential to evolve into Phase II_x000D_
_x000D_
- The Phase II preparation plan receives relatively little thought and attention, and different references to it can be found in a couple of places in the text, which makes it a bit harder to assess. _x000D_
_x000D_
+ The proposal touches upon several of the "Broad Themes" of the solicitation. It is particularly strong in industry engagement._x000D_
- But more effort should have been done on the 'language barriers' of the 3 communities. _x000D_
_x000D_
Overall, the question is whether the proposed institute will be 'greater than the sum of its parts', i.e. it will achieve more significant results relative to funding the coPIs independent projects. I believe there is an emerging sense of vision, mission and direction, which is likely to provide significant additional results. _x000D_
_x000D_
But certain parts could have been stronger. With the benefit of the reviewer's hindsight some things that would improve the proposal:_x000D_
- 1-2 research topics should receive greater focus and illustrate a plan of concrete collaboration between the 3 communities._x000D_
- Discussion of cross-assessment with other funded Institutes, with the purpose of evolving into Phase II. _x000D_
- Concrete plans for developing common ground between the 3 communities._x000D_
_x000D_
_x000D_
_x000D_
_x000D_
Summary Statement_x000D_
_x000D_
The proposal that addressees a number of the "broad themes" of The TRIPODS solicitation, and stands a good chance of advancing its goals The proposal also has the potential to proceed to Phase II. In that sense, the proposal is worth funding. There is a clear vision and mission for the institute, but a greater preparatory integration of its parts would have made the proposal even stronger._x000D_
_x000D_
</t>
  </si>
  <si>
    <t xml:space="preserve">In the context of the five review elements, please _x000D_
evaluate the strengths and weaknesses of the proposal with respect to intellectual merit._x000D_
_x000D_
The proposal is to create an institute and focus on research topics in 3 themes_x000D_
1) Online update and statistical inference for big spatio-temporal stream data_x000D_
2) Scalable algorithms for big data analytics:  Foundations_x000D_
3) Computational Statistics on Topological and Function Spaces_x000D_
For each topic, there are somewhat specific/concrete sub-topics for research. Some of these are quite specific, others are more general, some underdeveloped and some that should have been identified as overlapping across the themes._x000D_
_x000D_
The proposal identifies where the different researchers in different disciplines will interact. However, it is not clear what each will contribute. Several of the topics seem to be continuation of existing research of one of the researchers. It is not clear that the others will be able to get involved in that topic, add much, or that there will be synergies._x000D_
The synergy concerns me. There are several research topics that involve 2 of the 3 communities but not the third, and some that nominally include 2 or 3 but which seem to be more focused on an individuals previous work._x000D_
_x000D_
The proposal identifies the typical center activities. The plan to deliver them is not as compelling as I would like to see._x000D_
_x000D_
The proposal is somewhat application-aware, mostly biological._x000D_
There is indication of the potential for industry engagement.  However, it does not provide concrete mechanisms to realize this._x000D_
_x000D_
The research topics are interesting. However, they are somewhat specific and not leading to an understanding or definition of general foundational aspects of Data Science_x000D_
that the TRIPODS solicitation expects._x000D_
The proposal seems to be mostly traditional within-field research with some collaboration from other fields._x000D_
It is not clear that there will be significant synergies._x000D_
It does not envision the broader potential and definition for Data Science._x000D_
_x000D_
_x000D_
In the context of the five review elements, please _x000D_
evaluate the strengths and weaknesses of the proposal with respect to broader impacts._x000D_
_x000D_
The broader impacts are standard - Web site, new courses, seminars/colloquia, meet-a-thon ..._x000D_
There are no new programs and no new unifying courses. There is mention of developing short courses._x000D_
There is no mention of URMs._x000D_
The broader impacts are not as expansive as we'd like to see for a first phase of an institute._x000D_
_x000D_
Please evaluate the strengths and _x000D_
weaknesses of the proposal with respect to any additional solicitation-specific review criteria, if _x000D_
applicable_x000D_
_x000D_
The proposal  overwhelmingly focuses on the research. It is somewhat integrated but is multi-location and the plan to engage individuals regularly seems to be biweekly. This may be all we can expect but is not ideal overall for an institution that engages individuals from multiple disciplines. _x000D_
_x000D_
The plan for training does not seem to be comprehensively developed other than using existing efforts._x000D_
_x000D_
The proposal addresses the broad themes of the program in terms of research._x000D_
_x000D_
The workforce development is under-developed or aspirational_x000D_
_x000D_
I do not have confidence that there will be strong synergies and new perspectives and developments_x000D_
because of the collaborations across the three fields. It appears to me that this will be more_x000D_
extensions of research topics by one individual with the nominal engagement of others._x000D_
_x000D_
The research topics are relevant and interesting. However, they are somewhat specific, and continuations of the PIs previous research. It is not clear that the focus is on envisioning a general perspective on the foundations of data science._x000D_
_x000D_
The PIs are qualified but the roles of collaboration are not clear._x000D_
_x000D_
There is hope for engagement with domain scientists and industry but it is not articulated explicitly._x000D_
_x000D_
Measures of what defines success are not clearly articulated. _x000D_
Plans for Phase II are simply to figure it out during Phase I, i.e. to add and discard activities that are identified during Phase I._x000D_
_x000D_
The assessment plan is fine._x000D_
_x000D_
_x000D_
Summary Statement_x000D_
_x000D_
The research proposal is good. However, the authors spend most of their time discussing the research  but not addressing the important element of the TRIPODS call - an institute for data science foundations with significant broader impacts.  To indicate this, the proposal only gets to the institute elements at p11 1/2 and only dedicates 2 1/2 pages to it._x000D_
_x000D_
Many of the research questions are interesting, relevant, and are being addressed by numerous other researchers, showing their relevance._x000D_
However, there are concerns with synergies and fusion of perspectives between all 3 fields on the topics._x000D_
There is a reasonable chance that many of the topics described in the proposal are continuations of the PIs own work._x000D_
This would not result in a significantly broader vision of data science and its foundations. I think it will be mostly business-as-usual._x000D_
Instead,  a TRIPODS institute should be actively undertaking the significant effort in switching the focus of the participants to see the bigger picture_x000D_
and assimilate a holistic view of all of the work in data science in order to articulate a vision of data science foundations._x000D_
_x000D_
The research and training efforts would benefit greatly from more regular interaction between the participants._x000D_
There also appears to be a reliance on visitors, postdocs, grad. students to offer some of the activities without mention_x000D_
of oversight to ensure that these actually happen or an incentive structure to foster them._x000D_
_x000D_
_x000D_
</t>
  </si>
  <si>
    <t>This is a TRIPODS proposal to seek NSF funding to create a "New England Consortium for the Advancement of Data Science (NECADS)". It will be housed at the University of Connecticut, and will be an intensive and integrated collaborative effort of faculty, post docs, graduate students, and undergraduate students  from the University of Connecticut (UConn and UConn Health), and the University of Massachusetts (UMass Amherst), and professionals from various centers (CIRCA, CTI, InCHIP, JAX),  industries  (Boehringer Ingelheim, GlaxoSmithKline, IBM Watson Research Center, Metrum, Ruark, Travelers, and Unilever, among others), and societies (NESS, SoA, CAS). NECADS will have unique strengths in Statistics, Mathematics, and Computer Science.  The research and training developed through NECADS will emphasize the theoretical foundations of data science through inferential and predictive theory and methods, and mathematically validated high performance computing algorithms that are driven by suitable assumptions on the randomness inherent in complex data that occur in practice - which may be overlooked by a fully (or mostly) deterministic algorithmic approach. We will   leverage existing programs such as the Booth Engineering Center for Advanced Technology (BECAT) at UConn and the Center for Data Science at UMass. In Phase I, we envision a data science small consortium with global reach, touching important areas such as biomedicine, business, climate, environment, finance, insurance, etc., which will evolve in Phase II into a New England based focus for cutting-edge research, training, and teaching in data science.The proliferation of big data in scientific, commercial, and public domains, as well as the recognition of the need for research in the larger sphere of data science (which includes big data analysis) is driving the need for continued collaborations between domain specialists and the individual areas of Statistics, Mathematics, and Computer Science, but more crucially also across these three disciplines. Our proposal for this consortium comes from our recognition that the time is ripe for researchers at the forefront of these areas to work together to break the impasse of insular research within the groups and build a coherent theoretical and methodological framework for Data Science, and to provide the infrastructure and training to make these practically relevant in the workplace, through synergy with application domains in industrial organizations, information technology enterprises, and governmental agencies. Research contributions will be focused along three main themes:  Online Updating and Statistical Inference for Big Spatial and Temporal Stream Data,  Scalable Algorithms for Big Data Analytics: Mathematical and Statistical Foundations, and Computational Statistics on Topological and Function Spaces. All PIs, Senior Personnel and NECADS participants have demonstrated expertise in these areas and will devote their intellectual potential to come together at NECADS.Advancements in Data Sciences have important positive contribution to the society at large, and in particular, to industry and government. NECADS will widely disseminate its activities through a dedicated, open access website, resulting in considerable national and global impact. Scientific output from TRIPODS collaborations will be published in peer-reviewed journals, and presented at local, regional and national research conferences by all consortium participants (faculty, post docs, graduate and undergraduate students). Training in data science, data science course development, and other pedagogical aspects will contribute to development of human resources, and will be shared by all consortium participants through presentations at local,_x000D_
regional and national conferences, and via colloquia at various_x000D_
colleges and high schools. Cooperation with collaborating centers,_x000D_
industries and societies will enable NECADS to apply the data science research to practical problems of current interest.</t>
  </si>
  <si>
    <t>1740646</t>
  </si>
  <si>
    <t>Valiant</t>
  </si>
  <si>
    <t xml:space="preserve"> Panel Summary       
  Description: _x000D_
_x000D_
PIs propose to study a variety of directions for adaptable, accountable, and robust data sciences. This includes private data analyses, analyses that are fair,  analyses  robust to perturbations and changes, and mappings between data objects. They also plan to explore the boundary between convex and non-convex optimization problems. This calls for foundational new techniques in each of the tripods areas of Math, Statistics and Computer Science. PIs propose the center of tripods activities to be a nexus for researchers from many departments in Stanford and elsewhere via meetings and interdisciplinary postdoctoral flows. Further, PIs propose to develop cohesive courses in data sciences for undergraduate and graduate students and introduce an honors-thesis option with capstone projects. _x000D_
_x000D_
Intellectual Merit: _x000D_
_x000D_
Strengths _x000D_
+ The proposal addresses important problems._x000D_
+ The PIs are strong researchers and well-qualified to execute the proposal. _x000D_
_x000D_
Weaknesses _x000D_
- The proposed research is collection of disparate problems, and does not unite researchers into common thrusts. _x000D_
- Some of the proposed directions need more details on the  novel aspects._x000D_
- Some expertise in empirical data science and Statistics will enhance the proposal. _x000D_
_x000D_
Broader Impact: _x000D_
_x000D_
Strengths _x000D_
+  Privacy and fairness are of interest to society and potentially very high impact for data science and industrial applications _x000D_
+ PIs propose an undergraduate Honors thesis option with capstone projects which is interesting. _x000D_
_x000D_
Weaknesses _x000D_
- PIs don't provide details on connections to real-world applications of their proposed work. _x000D_
_x000D_
TRIPODS-specific criteria: _x000D_
_x000D_
Strengths _x000D_
+ The team brings together experts from the various domains._x000D_
+ Proposal addresses important problems such as privacy, fairness, robust learning etc. and matches the goals of the call. _x000D_
_x000D_
Weaknesses _x000D_
- PIs don't articulate  a broad vision for data science. _x000D_
- The proposal needs to involve more Math and Stats perspectives. _x000D_
- The proposal needs to address how collaboration will occur within the team, how the center will operate, and other  outreach and evaluation aspects in Phase I in more specific way, and provide more detailed plans for Phase II. _x000D_
_x000D_
Collaboration and Evaluation Plan: More specifics needed. _x000D_
_x000D_
Data Management Plan: Adequate. _x000D_
_x000D_
Post-doctoral Mentoring Plan: Adequate._x000D_
_x000D_
What is bold, exciting, high risk/reward, or potentially transformative? _x000D_
_x000D_
Capturing similarity between datasets by focusing on functional properties of mappings is innovative. _x000D_
_x000D_
_x000D_
Justification for Panel Rating: _x000D_
_x000D_
The panel concurred that the PIs are strong and rated the proposed research directions highly, but the PIs  were not convincing with plans to operate as a center or to  integrate the disparate research threads. _x000D_
Also,  the panel felt that the proposal had to be expanded in key areas, including Statistics. _x000D_
_x000D_
Panel Rating: _x000D_
_x000D_
_ Highly Recommended _x000D_
_ Recommended _x000D_
X Not Recommended _x000D_
_x000D_
The summary was read by/to the panel and the panel concurred that the summary accurately reflects the panel discussion._x000D_
</t>
  </si>
  <si>
    <t xml:space="preserve">Dear Professor Valiant, _x000D_
_x000D_
I regret to inform you that the NSF proposal CCF 1740646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DMS 1740646 _x000D_
Title: Adaptable, Accountable and Robust Data Science _x000D_
PI: Gregory J. Valiant, John Duchi, Leonidas J. Guibas, Omer Reingold,_x000D_
Mary K. Wootters _x000D_
Institution: Stanford University_x000D_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The research agenda described in this proposal describes several areas of focus: (1) data coding and structuring;  (2) accountability and fairness;   (3) robustness; (4) data mappings; and  (5) optimization._x000D_
_x000D_
Broader impacts described in the project summary include curriculum development, mentorship, and a proposed capstone honors thesis option in data sciences._x000D_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Three panelists reviewed this proposal, returning comments headed by summary ratings of V, V, and G/F._x000D_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</si>
  <si>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The project plans to focus on a few problems in data science. _x000D_
_x000D_
A big component is privacy, fairness, and robustness (both to adaptivity and to corrupted data) in data science. These can be seen as the next step beyond the basic differential privacy setting. For example, what if there is no trusted data curator and  individuals have to share their data? What can be done by individuals locallyûeg by locally adding noise to their own data?  Also, another project relates to learning classifiers privately. There is also a fresh take on robust optimization (when some of the data consists of outliers, which could be structured or adversarial). Ideas such as the list-decoding variant of learning is cute but it is a bit hard to see how this would apply in more complicated settings than say gaussian mixtures. _x000D_
_x000D_
The above questions are very nice but the proposal was a bit lacking in details on how they would be attacked. I was looking forward to the topics in Section 7 (new approaches in large scale optimization data science)   but it was a bit cursory given the centrality of this to modern data science. _x000D_
_x000D_
I liked a lot an interesting subproject of capturing similarity between datasets by focusing on properties of mappings; a functorial view (which properties are preserved by the mappings and which are not). This seems quite original as a way of understanding different datasets, and the results already attained seem interesting. _x000D_
_x000D_
Strengths: The proposal addresses important topics and the quality of the team, institutional resources etc. are very good. _x000D_
_x000D_
Weakness: The proposed research felt like a disjoint union of team members' interests. Candes's projects weren't described much at all, so perhaps the statistics component could be enhanced. _x000D_
_x000D_
_x000D_
In the context of the five review elements, please _x000D_
evaluate the strengths and weaknesses of the proposal with respect to broader impacts._x000D_
_x000D_
Strengths: The work on privacy and fairness is potentially very high impact for data science and industrial applications if successful. (So far the results feel a bit narrow but much more could happen here in future.) The functorial view of understanding structure in datasets could also become big if it works out. Some of the innovative ideas like the list decoding approach to robust optimization are speculative but sometimes catch on and become bigger research topics. The team's teaching and curriculum activities are having an impact on the field, and the proposed institute makes sense. _x000D_
_x000D_
The team will collaborate on an undergrad data science thesis option  which seems like an interesting option that other universities may emulate. _x000D_
_x000D_
_x000D_
Cons: The connections to practice in this proposal didn't feel as genuine (except possibly for the functorial approach to dataset similarity). The mentoring, curriculum plan etc could be better spelled out as well._x000D_
_x000D_
Please evaluate the strengths and _x000D_
weaknesses of the proposal with respect to any additional solicitation-specific review criteria, if _x000D_
applicable_x000D_
_x000D_
The team brings together experts from the various domains, and adresses several of the program foci, most notably issues of privacy and fairness, robust learning etc._x000D_
_x000D_
The shortcoming is that it is not convincing how this Tripod collaboration would happen, especially given the disjointed nature of the research description. Ideally there would be clear evidence of the _x000D_
PIs having devoted some care and thought into the proposal. _x000D_
_x000D_
The description of the functioning of the center also was not very convincing. (Things like honors ugrad thesis and internships in Silicon valley companies seem a bit easy for a place like Stanford, and somewhat inward-looking.)_x000D_
_x000D_
Summary Statement_x000D_
_x000D_
A good proposal.  It didn't feel entirely collaborative ---possibly more a union of projects-- but the team is very strong._x000D_
_x000D_
</t>
  </si>
  <si>
    <t>UA0871949</t>
  </si>
  <si>
    <t>Fortnow</t>
  </si>
  <si>
    <t>fortnow@cc.gatech.edu</t>
  </si>
  <si>
    <t xml:space="preserve">In the context of the five review elements, please _x000D_
evaluate the strengths and weaknesses of the proposal with respect to intellectual merit._x000D_
_x000D_
This proposal has several topics that connect to individual PIs: Adapative Analysis, Privacy and Fairness (Reingold), Learning (Valiant), Operator approach to data sets (Guibas), Optimization (Candes). These are all very strong researchers in their fields and I have do doubt they will produce exciting research in these areas._x000D_
_x000D_
The proposal lacks any major new thrusts, particularly those that unite the researchers across fields._x000D_
_x000D_
In the context of the five review elements, please _x000D_
evaluate the strengths and weaknesses of the proposal with respect to broader impacts._x000D_
_x000D_
The broader impacts are relatively basic, though this is a theoretical call. The proposal suggests some real-world applications of the research, but no direct plans to make it happen and thus unlikely to have a near-term effect on practice._x000D_
_x000D_
The educational aspects are some course development and undergraduate programs. _x000D_
_x000D_
_x000D_
Please evaluate the strengths and _x000D_
weaknesses of the proposal with respect to any additional solicitation-specific review criteria, if _x000D_
applicable_x000D_
_x000D_
Very weak on the these points. This was supposed to be a center proposal but the cross-activities are given short shrift, basically an undergrad honors program, some joint postdocs, seminars and workshops. No real management or leadership plan. No detailed outreach, limited outside engagement, nothing on diversity. _x000D_
_x000D_
The proposal hits on the broad themes of curriculum development, privacy and fairness._x000D_
_x000D_
Lacks a broad vision for data science. No primary representation in mathematics (I consider Candes primarily a statistician). The plan for Phase II is just expanding the honors program._x000D_
_x000D_
Summary Statement_x000D_
_x000D_
Extremely strong researchers but proposal lacks the synergy, vision and structure required for a TRIPODS center._x000D_
_x000D_
</t>
  </si>
  <si>
    <t xml:space="preserve">In the context of the five review elements, please _x000D_
evaluate the strengths and weaknesses of the proposal with respect to intellectual merit._x000D_
_x000D_
The proposed work is at Stanford._x000D_
_x000D_
The research directions proposed:_x000D_
- Data coding and structuring: privacy-preserving data_x000D_
analysis, statistically sound data exploration, and interactive data analyses_x000D_
- Accountability: fairness of data analysis or machine learning systems _x000D_
- Robustness: data analysis techniques that are_x000D_
robust to data distribution changes, errors, attacks._x000D_
- Data mappings. _x000D_
- Optimization. Boundaries. _x000D_
_x000D_
Novel Center-like activities in research: Be base of data science activities spread across Stanford. _x000D_
_x000D_
Synergy:_x000D_
PIs span different sets of  two out of the 3 areas, with learning, privacy, fairness and optimization as prime areas. _x000D_
_x000D_
Themes explored:_x000D_
Application aware foundational research, and unified curricula._x000D_
_x000D_
Strengths:_x000D_
- Great expertise in individual areas. _x000D_
- Rich and potentially interesting research directions, in particular, from perspective of tools to handle real data. _x000D_
_x000D_
Weaknesses:_x000D_
- Some expertise in empirical data science and other areas of statistics will be useful. _x000D_
- Will be useful to research agenda and activity that integrates the team members and its strengths. _x000D_
_x000D_
_x000D_
_x000D_
In the context of the five review elements, please _x000D_
evaluate the strengths and weaknesses of the proposal with respect to broader impacts._x000D_
_x000D_
Broader impacts._x000D_
- Impact multiple research communities via foundational concepts. _x000D_
- Problems are of interest to society ù privacy, fairness of learning etc. _x000D_
- Will incorporate outcomes into undergrad and grad courses, eg.  honors-thesis option for undergraduate students with capstone research projects. _x000D_
- Mentor interdisciplinary postdocs._x000D_
_x000D_
Strengths:_x000D_
- Significant research insight will impact multiple disciplines. _x000D_
- Clear plan for honors program in data sciences with capstone projects._x000D_
- Workshops and meetings will be useful to the community. _x000D_
_x000D_
Weaknesses:_x000D_
- Need details on how this effort will operate as a center. _x000D_
- Some significant effort to get (usable) methods out to external world via collaborations outside this group will be interesting. _x000D_
_x000D_
_x000D_
Please evaluate the strengths and _x000D_
weaknesses of the proposal with respect to any additional solicitation-specific review criteria, if _x000D_
applicable_x000D_
_x000D_
_x000D_
Several research directions are proposed and they are central to building tools for working with data. The statistical aspects of these research directions can be strengthened further, perhaps with empirical models and other techniques. _x000D_
_x000D_
Proposal expands on data sciences curricula, and _x000D_
aims  to be base of data science activity in Stanford that is spread across depts. _x000D_
_x000D_
There is potential of joint questions in privacy, fairness, learning etc which are hard to formulate but these PI has prior success that shows promise. _x000D_
_x000D_
The team has some  collaborations in place, and can use more strength in foundational Statistics._x000D_
_x000D_
The PIs will benefit from connections to Silicon Valley via data and internships. _x000D_
_x000D_
Phase I success will be measured for each activity from research to honors mentoring to workshops and meetings. Feedback will direct Phase II. More details here will help. _x000D_
_x000D_
_x000D_
Summary Statement_x000D_
_x000D_
The proposed research directions are significant and potentially useful to the society at large (like privacy and fairness).  More connections to expertise in empirical data science will be useful.  _x000D_
_x000D_
The weakness of the proposal is that it does not demonstrate integration  in research agenda and team members for TRIPODS proposal. _x000D_
_x000D_
_x000D_
</t>
  </si>
  <si>
    <t>The core of the research portion of the proposal focuses on five ambitious and intertwined research frontiers: (1) Data coding and structuring: developing techniques that enable privacy-preserving data analysis, statistically sound data exploration, and interactive data analyses; (2) Accountability: defining general frameworks for quantifying the fairness of data analysis or machine learning systems and designing algorithms that result in fair, transparent and explainable outcomes; (3) Robustness: exploring the algorithmic and information theoretic possibilities and limitations for data analysis techniques that are robust data distribution changes, arbitrary or malicious data, and model mis-specification; (4) Data mappings that allow us to quantify differences and similarities in data sets; and (5) Optimization: leveraging statistical techniques to move the boundary of `solvable' and `unsolvable' optimization problems away from the traditional convex vs. non-convex divide. Progress on these frontiers is essential to the future viability and pervasive adoption of data sciences. Progress on these fronts will also require foundational work that leverages new mathematically precise definitions, deep techniques, and collaborations across mathematics, statistics, computer science, and information theory. Moreover, work on these directions is likely to uncover new perspectives that spur further technical innovation._x000D_
The proposal contains significant institutional and educational components to amplify the impact of the research objectives and promote foundational data science research at all levels. This includes involvement of undergraduates, postdoctoral fellows, visiting researchers, and researchers from local technology companies. Stanford's current researchers involved in data science are diverse and numerous, representing departments including Statistics, Computer Science, Mathematics, Electrical Engineering, Management Sciences and Engineering, and Biomedical Data Sciences. The proposed institute will serve as a nexus for this larger set of researchers, and the planned seminar series, workshops, and interdisciplinary postdoctoral fellows jointly mentored by the PIs will coalesce this larger community. On the side of education and outreach, the proposed institute will be a base for undergraduate and master's students interested in the foundations of data science. The PIs intend to develop a cohesive set of foundational courses on data sciences to cater both to undergraduate and graduate students. The PIs also plan to introduce an honors-thesis option for undergraduate students, which would involve a capstone research project supported by the proposed institute (supervised by a combination of the postdoctoral fellows, PhD students, and faculty).The concrete technical goal of proposed work is to deliver new tools and techniques for the curation and analysis of data, which directly address the emerging need for adaptable, accountable, and robust data sciences, along with concomitant advances in numerical optimization necessary for learning and statistical inference. Foundational work on these frontiers is in its infancy. Many of the models we describe in the proposal, and central questions we outline, are novel. As such, a significant component of the proposed work is to formalize and develop appropriate mathematical definitions that reflect the desiderata, articulating the central problems that can guide future work from the broader Mathematics, Statistics and Computer Science communities._x000D_
Keywords: Data Sciences, Privacy, Verifiability, Fairness, Robustness, Adaptive Analysis, Optimization.The concepts and tools developed will have a transformative effect on data sciences, leading to the development of more robust, fair, and secure data systems. The proposed seminar series, workshops, and research collaborations -- which will span Stanford, the medical school, and industry researchers and engineers in the area -- will strengthen the impact of this research. Given the increasing demand for data scientists across the sciences, it is important to ensure sufficiently many students grasp the foundations of data science. The educational and outreach goals of the proposal -- including curriculum development, mentorship, and the proposed capstone honors thesis option in data sciences -- are designed to raise capable data scientists who have the perspective and background necessary to tackle the challenges of tomorrow.</t>
  </si>
  <si>
    <t>1740672</t>
  </si>
  <si>
    <t>Szpankowski</t>
  </si>
  <si>
    <t xml:space="preserve"> Panel Summary       
 Description:  _x000D_
_x000D_
PIs propose an Information and Data Science Alliance, multi university effort of data scientists headquartered at Purdue and benefiting from existing resources such as the Information theory STC at Purdue and SAMSI. The PIs emphasize an information-theoretic approach, and propose to address what is learnable information in data,  to infer topological features in data, to bound information in network data, and study other problems. They also propose to study randomization based on sparsity of information. PIs propose an interdisciplinary educational program of visitors, summer schools, hands-on modules etc. _x000D_
_x000D_
Intellectual Merit:_x000D_
_x000D_
Strengths _x000D_
+ Some of the proposed work in information theory and numerical linear algebra is strong and interesting._x000D_
+ The team has some strong researchers, well-qualified to execute pieces of the proposal. _x000D_
_x000D_
Weaknesses _x000D_
- PIs need to make a convincing case that coding and compression aspects of network and other data are central to the structure of data and to important Data Science concerns. _x000D_
- The research agenda is not convincing and not clear that it will lead to breakthroughs in Data Science. _x000D_
_x000D_
Broader Impact: _x000D_
_x000D_
Strengths _x000D_
+ The proposal has an elaborate educational component including potential undergraduate major in Data Sciences, curricular modules, learning hub etc. _x000D_
_x000D_
Weaknesses _x000D_
- PIs don't provide details on new efforts beyond ongoing ones at the associated institutions. _x000D_
_x000D_
TRIPODS-specific criteria: _x000D_
_x000D_
Strengths _x000D_
+ The team has experts from the various domains._x000D_
+ Some of the proposed research directions are interesting. _x000D_
+ PIs present detailed plans for operating and outreach in Phase I and plans for Phase II. _x000D_
_x000D_
Weaknesses _x000D_
- PIs don't articulate a vision that information-theoretic view is central to core Data Science problems.  _x000D_
- PIs didn't describe an integrative view of the team's strengths and research agenda. _x000D_
_x000D_
Collaboration and Evaluation Plan: Some of the PIs have prior collaborations and the proposal describes their plan for potential collaborations and extending to other researchers, adequately.  _x000D_
_x000D_
Data Management Plan: Adequate. _x000D_
_x000D_
Post-doctoral Mentoring Plan: Adequate._x000D_
_x000D_
 _x000D_
Justification for Panel Rating: _x000D_
_x000D_
The panel concurred that while the PIs propose some interesting problems in dealing with data with the information-theoretic lens, PIs did not make a convincing argument that coding, compression and information in data is central to core Data Science concerns.The PIs do not provide an integrative view of the team's strengths and an overall research agenda. The proposal will benefit from more Statistics perspective. _x000D_
_x000D_
Panel Rating: _x000D_
_ Highly Recommended _x000D_
_ Recommended _x000D_
X Not Recommended _x000D_
_x000D_
The summary was read by/to the panel and the panel concurred that the summary accurately reflects the panel discussion. 
</t>
  </si>
  <si>
    <t xml:space="preserve">Dear Professor Szpankowski, Professor Ipsen, Professor Baryshnikov,_x000D_
and Profesor Kondor,_x000D_
_x000D_
I regret to inform you that the collaborative NSF proposal CCF 1740672, 1740638, 1740709, 1740710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CCF 1740672, 1740638, 1740709, 1740710 _x000D_
Title: Collaborative Research: Foundation of Data Science Through an Information-Theoretic Lens _x000D_
PIs: Wojciech Szpankowski, Petros Drineas; Ilse C. F. Ipsen;_x000D_
Yuliy Baryshnikov; Imre Kondor _x000D_
Institutions: Purdue University; North Carolina State University;_x000D_
University of Illinois at Urbana--Champaign; University of Chicago_x000D_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This is a collaborative proposal from four campuses that aims to establish an alliance on information and data science.  Research projects outlined in the proposal seek to develop information theoretic formalisms for establishing fundamental limits of learning from data, developing efficient algorithms for the task,  and developing techniques for quantifying the significance of learned artifacts._x000D_
_x000D_
Broader impacts described in the project summary include a joint postdoc program, summer schools for junior participants, research and networking experiences aimed at the recruitment of students from under-represented groups, and the development of  courses and curriculum modules._x000D_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V, G/F, and F._x000D_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</si>
  <si>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The proposal seeks to create an alliance of data scientists headquartered at Purdue but with collaborators at various institutions some distance away. It would leverage existing resources such as the Information theory STC at Purdue and SAMSI. _x000D_
_x000D_
Research is inspired by an information theory approach, focusing on understanding the structure of data via ideas of efficient coding and compression. Presumably this seeks to build upon the ubiquitous use of information theoretic measures such as entropy, KL divergence etc. which are of course ubiquitous._x000D_
_x000D_
That said, I found the key  sections 3.1, 3.3 somewhat unconvincing. It is not clear from this description that pinning down information theory is a very powerful technique for insight into data problems._x000D_
Is it clear that a good compression algorithm is a source of a good description of the data? It may be information theoretically optimum, but might be completely opaque as a data descriptor. _x000D_
_x000D_
ection 3.2 with topological methods was also cursory and generic, and didn't crisply present a research agenda, and who is going to carry it out. _x000D_
_x000D_
Section 3.4 ---randomized linear algebra---is good and quite relevant to data science. Drineas's work is central in this field. But the section is a bit short. For instance, the very interesting problem of extending a low of work on matrices to tensors was dealt with in a couple of lines. _x000D_
_x000D_
While the project involves some other researchers as described in the proposal, the above research agenda is a bit barebones for a Tripod center. Randomized linear algebra is nice but hardly a very general approach to big data. I looked up the recent work of PI (Szpankowski) and it is not really addressing any core problems of data science (as opposed to information theory). _x000D_
_x000D_
_x000D_
Strengths:  Some good elements, such as advances on problems in information theory, numerical linear algebra. _x000D_
_x000D_
Weakness: The research agenda was not fully convincing though it has good elements. Not clear if this would lead to breakthroughs._x000D_
_x000D_
In the context of the five review elements, please _x000D_
evaluate the strengths and weaknesses of the proposal with respect to broader impacts._x000D_
_x000D_
The PIs contribute to various activities that promote data science at their university (eg the new major) and outreach and mentoring activities. There are plans for EdX courses etc. This is a good plan for a center. _x000D_
_x000D_
Weakness:  In several places it's mentioned that the framework is a continuation of the existing ones from the Information theory center and SAMSI; the data science major plan is an ongoing one at Purdue. The descriptions of these activities were detailed but had a boiler-plate feel, possibly being reused from existing materials. _x000D_
_x000D_
_x000D_
_x000D_
Please evaluate the strengths and _x000D_
weaknesses of the proposal with respect to any additional solicitation-specific review criteria, if _x000D_
applicable_x000D_
_x000D_
The plan for creating a center is OK but the biggest weakness was that  the main proposal didn't describe an integrative view of the team's strengths and how this multiinstitution team would work on a common agenda. The research agenda is not very central for big data problems. _x000D_
_x000D_
_x000D_
Summary Statement_x000D_
_x000D_
A somewhat weak proposal for the reasons mentioned above._x000D_
_x000D_
</t>
  </si>
  <si>
    <t xml:space="preserve">In the context of the five review elements, please _x000D_
evaluate the strengths and weaknesses of the proposal with respect to intellectual merit._x000D_
_x000D_
The proposed work is Information and Data Science Alliance, a multi university effort and benefits from associated NSF STC, and Applied Math Inst. The emphasis is on information theory approach. _x000D_
_x000D_
_x000D_
The research directions proposed:_x000D_
- Characterize  learnable information in data. _x000D_
-  Infer  topological features in data. _x000D_
- Study and design information-theoretic  bounds on structural/network data _x000D_
- Uses of randomization, based on sparsity, information. _x000D_
_x000D_
Strengths: _x000D_
- Good problems in some areas like numerical linear algebra and compression and coding of network data._x000D_
- PIs with expertise in the areas. _x000D_
_x000D_
Weaknesses:_x000D_
- PIs dont argue that the specific compression or coding problems address key Data Science in practice or principle. _x000D_
-Some of the directions are not fleshed out to expand on the novel aspects beyond the extant MDL, compressibility, KL divergence, etc. and their uses._x000D_
_x000D_
In the context of the five review elements, please _x000D_
evaluate the strengths and weaknesses of the proposal with respect to broader impacts._x000D_
_x000D_
Strengths:_x000D_
- Undergrad in data science and other curricula effort. _x000D_
- Organizational effort including learning portal and summer schools._x000D_
_x000D_
Weakness:_x000D_
- Needs more effort to bring in Statistics and other areas of Mathematics._x000D_
_x000D_
_x000D_
Please evaluate the strengths and _x000D_
weaknesses of the proposal with respect to any additional solicitation-specific review criteria, if _x000D_
applicable_x000D_
_x000D_
Strength:_x000D_
- Detailed effort with SAMSI and other related centers in the vicinity._x000D_
- Detailed organizational plan for operations, measurement etc._x000D_
_x000D_
Weakness: _x000D_
- PIs dont articulate an integrative research agenda, for example of numerical algebra with the compression and coding parts. _x000D_
- Lack of details on novel aspects of information theory and connection to Data Science topics discussed here, and how rich/narrow is the impact of using information-theory lens for Data Science. _x000D_
- Lack of engagement with topics and personnel in potential connections in learning, statistics, applied math, signal processing, etc._x000D_
_x000D_
Summary Statement_x000D_
_x000D_
The proposed research direction is interesting, taking information theory and random linear algebra approach to Data Science problems.  The proposal needs to outline how the information-theoretic structure impacts Data Science problems and engage with  related approaches in learning, signal processing and other areas._x000D_
_x000D_
</t>
  </si>
  <si>
    <t>DN0803507</t>
  </si>
  <si>
    <t>Wu</t>
  </si>
  <si>
    <t>ywu@stat.ucla.edu</t>
  </si>
  <si>
    <t xml:space="preserve">In the context of the five review elements, please _x000D_
evaluate the strengths and weaknesses of the proposal with respect to intellectual merit._x000D_
_x000D_
Strength: _x000D_
_x000D_
+ The PIs propose to establish the Information and Data Science Alliance, bringing together researchers from computer science, information theory, mathematics, statistics and scientific domains. _x000D_
_x000D_
+ The PIs propose to study (1) the amount of useful or learnable information in a data set using distinguishability principles. (2)  topological features for understanding observed data._x000D_
(3) information-theoretic bounds on network representations.  (4) randomized algorithms for matrix computations. These problems are important and fundamental for data science. _x000D_
_x000D_
+ The PIs have good track records, and they are likely to succeed in executing their research plan. _x000D_
_x000D_
Weakness: _x000D_
_x000D_
- Although the proposed research seeks to address the foundational issues of data science, the focus on information theory may be narrow, and the proposed theories based on information theory do not seem to be groundbreaking.  _x000D_
_x000D_
- The part on random matrix algorithms is interesting, but its connection to the other parts is not very clear.  _x000D_
_x000D_
- Although there is a section on synergy, the synergy among theoretical computer science, statistics and mathematics is not particularly strong._x000D_
_x000D_
In the context of the five review elements, please _x000D_
evaluate the strengths and weaknesses of the proposal with respect to broader impacts._x000D_
_x000D_
Strength: _x000D_
_x000D_
+ The proposed Alliance aims to develop a scientific community focused on the use of information theoretic methods in data science through visitors programs and workshops. _x000D_
_x000D_
+ The proposed Alliance will conduct focused activities including summer schools, research workshops, visiting program, various education modules, student research teams and workshops etc. _x000D_
_x000D_
+ The proposed activities will be carried out with NSF STC Center for Science of Information (CSoI), Statistical and Applied Mathematical Sciences Institute (SAMSI). _x000D_
_x000D_
+ The education initiatives will be in partnership with the Information and Data Sciences Frontiers Program. _x000D_
_x000D_
+ The plan on education and training is good, such as the curriculum development and learning hub. _x000D_
_x000D_
Weakness: _x000D_
_x000D_
- The proposal is relatively weak on center-like activities, such as organization, management, outreach, evaluation, etc. _x000D_
_x000D_
- The proposal reads more like a collaborative research proposal instead of a center-like proposal._x000D_
_x000D_
Please evaluate the strengths and _x000D_
weaknesses of the proposal with respect to any additional solicitation-specific review criteria, if _x000D_
applicable_x000D_
_x000D_
Strength: _x000D_
_x000D_
+ The proposed research seeks to address the foundational issues in data science. _x000D_
_x000D_
+ The research team consists of researchers from theoretical computer science, mathematics and statistics. _x000D_
_x000D_
+  The proposal is strong in terms of curriculum development and workforce training. _x000D_
_x000D_
Weakness: _x000D_
_x000D_
- The proposed research based on information theory may not be general enough to lay the foundation for data science. _x000D_
_x000D_
- The proposal is not particularly strong in terms of bringing together researchers from statistics, theoretical computer science, and mathematics. In particular, the statistics and machine learning aspects appear to be under-represented. _x000D_
_x000D_
- The center-like activities of the proposal is relatively weak in terms of organization, management, outreach and evaluation. _x000D_
_x000D_
- There is no detailed plan on transition to Phase II. _x000D_
_x000D_
_x000D_
Summary Statement_x000D_
_x000D_
This is a very good proposal that seeks to address the foundational issues in data science from the information theoretical perspective.  The proposed research activities are important and are likely to succeed given the PIs past records. _x000D_
_x000D_
On the other hands, the proposed research plan appears not particularly novel or coherent. The institutional activities are not very strong in terms of bringing together researchers from statistics, mathematics and theoretical computer science, organizing and managing the center, and planning for transition to Phase II._x000D_
_x000D_
</t>
  </si>
  <si>
    <t>The problem of transforming data repositories first into information and subsequently to actionable knowledge is a defining challenge for the theoretical foundations of Data Science. The goal of this project is the establishment of the Information and Data Science Alliance, bringing together computer scientists, information theorists, mathematicians, statisticians, and (eventually) applications' scientists, to develop a  Science of Information framework for Theoretical Foundations of Data Science. This project builds on the growing synergies between Information Theory and Data Science that track Information Theory's evolution from communication and compression to a comprehensive theory of how information is acquired, curated, suitably abstracted and represented, aggregated, analyzed, retrieved, inferred, secured, and used in various scientific, engineering, and socio-economic processes.From an intellectual merit perspective, the proposed Alliance seeks to develop information theoretic formalisms for establishing fundamental limits of learning from data, identifying suitable formulations and efficient algorithms that achieve these limits, establishing universality of methods within and across model classes, and developing techniques for quantifying the significance of learned artifacts. This requires advances in information theory, statistical analysis, mathematical techniques, algorithms, and machine learning. More precisely, the research agenda of the Alliance is focused on four research domains. First, characterizations for the amount of "useful or learnable information" that can be extracted from a given data set will be explored and measures of learnable information based on distinguishability principles will be proposed. Second, topological features in Data Science that can be used to discover reliable properties of the relevant spaces and models in observed data will be inferred and validated. Third, information-theoretic bounds on network representations of Data Science will be explored and proposed. Here, structural information of network representations of data, largely left open in information theory, will be proposed. Fourth, the power of randomization will be leveraged in order to design algorithms for a variety of matrix computations whose running time and accuracy primarily depends on the amount of information and secondarily on the dimensions or the sparsity of the matrix. In all four domains, there exists a significant amount of prior work that will be unified under our project's umbrella.The impact of the proposed research will be transformative, transcending the foundations of Data Science, and have a direct impact on the Nation's socio-economic well-being. Our Alliance is a multidisciplinary international partnership that is strongly supported by the NSF STC Center for Science of Information (CSoI) and the Statistical and Applied Mathematical Sciences Institute (SAMSI). We will offer students and researchers access to unprecedented collaborations on core aspects and applications of Data Science. Scientific impact will be manifested in groundbreaking advances in: information theory, statistical methodology, matrix algorithms, and machine learning; with contributions to domain sciences, such as the life sciences, social sciences, natural and engineered systems, and economics._x000D_
_x000D_
Our Education and Outreach program is an integral component of our project and promotes participation in the Alliance by underrepresented minorities at all academic levels. Initiatives include: (i) a joint postdoc program among Alliance institutions, designed to enhance the  breadth and depth of the postdoc experience; (ii) summer schools that introduce junior participants to the foundations of Data Science; (iii) recruitment of students from under-represented groups through meaningful research and networking experiences; (iv) development of hands-on modules and courses for a Data Science undergraduate major, with case studies targeted at domain sciences; (v) dissemination of modules and courses through the Online Learning Hub; (vi) a diversely inclusive visitors program, offering visits of various lengths to national and international researchers; (vi) formation of interdisciplinary student teams; and (viii) public lectures that disseminate  Data Science to all segments of the population.</t>
  </si>
  <si>
    <t>1740707</t>
  </si>
  <si>
    <t>Wright</t>
  </si>
  <si>
    <t xml:space="preserve"> Panel Summary       
 Description: The proposal will create an institute for Foundations of Data Science at UW Madison and involves a collaboration of scientists from the three fields. Research is organized around three promising research themes: Algebra and Optimization in Data Science, Graphs and Networks in Data Science, and Data Acquisition Theory and Methods._x000D_
_x000D_
_x000D_
Intellectual Merit:_x000D_
_x000D_
_x000D_
Strengths _x000D_
+ Outstanding proposal with excellent vision that builds upon existing strength and expands towards potentially transformative discovery in the broader context of fundamentals of data science that can be made possible only through true interaction between different communities _x000D_
+ Overlap between different PIs is almost optimal. Also good diversity in terms of seniority and expertise. _x000D_
+ UW Madison offers a great environment to carry out proposed research. _x000D_
+ Progress on these novel problems would have substantial impact within the discipline. _x000D_
_x000D_
Weaknesses _x000D_
- The proposal is a bit weaker on the theoretical computer science (TCS) front; in particular, the panel would have liked to see comments on how the part regarding graphs interfaces with existing TCS research._x000D_
_x000D_
Broader Impact:_x000D_
_x000D_
Strengths _x000D_
+ Majority of funds allocated to support of young researchers and graduate students._x000D_
+ Workshops are planned and budgeted for dissemination_x000D_
+ A solid list of outreach activities including popular lectures, Science Narratives videos, training of underrepresented groups, outreach to local K-12 schools. _x000D_
_x000D_
_x000D_
Weaknesses _x000D_
-None noted_x000D_
_x000D_
_x000D_
TRIPODS-specific criteria: _x000D_
_x000D_
Strengths _x000D_
+ Outside evaluation panel was considered a excellent._x000D_
+ Truly interdisciplinary team with a good track record of collaboration across fields._x000D_
+ Budgeting is well spread across different strengths_x000D_
+ Stepwise plan towards Phase II_x000D_
_x000D_
Weaknesses _x000D_
- None noted_x000D_
_x000D_
Collaboration and Evaluation Plan: a model of synergy between various groups. Both collaboration and evaluation part are excellent._x000D_
_x000D_
Data Management Plan: Satisfactory_x000D_
_x000D_
Post-doctoral Mentoring Plan: Satisfactory_x000D_
_x000D_
What is bold, exciting, high risk/reward, or potentially transformative? The proposal demonstrate exciting potential to integrate computer science, statistics and mathematics to have a substantial impact on several fundamental data science questions ranging from data acquisition to learning on graphs._x000D_
_x000D_
_x000D_
Justification for Panel Rating: The panel unanimously praised the top quality of the proposal._x000D_
_x000D_
Panel Rating:_x000D_
X Highly Recommended _x000D_
_ Recommended _x000D_
_ Not Recommended _x000D_
_x000D_
The summary was read by/to the panel and the panel concurred that the summary accurately reflects the panel discussion. 
</t>
  </si>
  <si>
    <t>As data continues to accumulate at an ever-increasing rate, so does the need for powerful and novel methods to extract information from data, in a form that is useful to individuals, society, researchers,and commerce. This project establishes a new entity at the University of Wisconsin-Madison: the Institute for Foundations of Data Science (IFDS). Building on the foundational work of earlier generations of researchers, IFDS will serve as a hub for people across campus with expertise in mathematics, statistics, and computer science to explore new approaches to the formulation and solution of problems in data analysis, as well as to epitomize the possibilities of a collaborative approach to investigating fundamental issues in data science. IFDS will integrate with the broader UW-Madison agenda for data science research, creating a new home for research of a fundamental, theoretical nature.  It will play a vital role in establishing graduate degree programs in data science and in outreach to industrial partners with interests in fundamental data science research._x000D_
_x000D_
The new Institute for Foundations of Data Science will bring together researchers across the UW-Madison campus in mathematics, statistics, and theoretical computer science for a transdisciplinary effort organized around three themes: Algebra and Optimization in Data Science, Graphs and Networks in Data Science, and Data Acquisition Theory and Methods. All topics represent areas of significant current interest in data science due to their intrinsic fundamental import and their wide applicability. The collaborations within these themes will involve fourteen senior researchers, together with postdoctoral and graduate student researchers. The IFDS will lay the foundations for a larger future effort in transdisciplinary data science research, possibly involving other universities and institutes.  Funds for the project come from CISE Computing and Communications Foundations, MPS Division of Mathematical Sciences, MPS Office of Multidisciplinary Activities, and Growing Convergent Research. (Convergence can be characterized as the deep integration of knowledge, techniques, and expertise from multiple fields to form new and expanded frameworks for addressing scientific and societal challenges and opportunities. This project promotes convergence by developing transdisciplinary data science solutions to problems in important application domains such as functional brain networks in cognitive neuroscience, understanding causal effects in gene regulatory networks, phylogenetic reconstruction in computational evolutionary biology, and the spread of information or disease across a network.)</t>
  </si>
  <si>
    <t xml:space="preserve">Proposal ID: CCF 1740707_x000D_
PI: Stephen J. Wright_x000D_
Co-PIs: Michael A. Newton, Robert D. Nowak, Sebastien Roch, Rebecca M. Willett_x000D_
Institution: University of Wisconsin-Madison_x000D_
Title:  Institute for Foundations of Data Science_x000D_
_x000D_
Dear Professors Wright, Newton, Nowak, Roch, and Willett,_x000D_
_x000D_
Congratulations!  I am delighted that your proposal submitted to the Transdisciplinary Research in Principles of Data Science Phase I solicitation has received an award.   This will be a three-year standard award in the total amount of $1,499,523.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July 12, 2017_x000D_
_x000D_
On behalf of the TRIPODS Management Team_x000D_
Nandini Kannan_x000D_
Tracy Kimbrel_x000D_
Jack Snoeyink_x000D_
Christopher Stark_x000D_
_x000D_
________________________________x000D_
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One of the reviewers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E, E, and E respectively.  Based on the reviews and the panel deliberations, your proposal was placed in the Highly Recommended category.     _x000D_
_x000D_
Topic: This proposal, from the University of Wisconsin-Madison, seeks to create a new Institute for Foundations of Data Science (IFDS), an institute that focuses on a "collaborative approach to investigating fundamental issues in data science."_x000D_
_x000D_
The proposed research topics include (1) Algebra and Optimization in Data Science, (2) Graphs and Networks in Data Science, and (3) Data Acquisition Theory and Methods.  Center-like activities for Phase I include summer workshops, a biannual IFDS Distinguished Lecture Series, training, including co-advising, of graduate students, and sponsorship of public lectures in the Wisconsin Institute for Discovery's Crossroads of Ideas series.  The project will leverage existing resources on the UW Madison campus through partnerships with the Wisconsin Institute for Discovery (WID) and the Grainger Institute for Engineering, and contribute to newly created Masters' program in Data Science and Machine Learning and Signal Processing._x000D_
_x000D_
Intellectual Merit: The reviewers and panel agreed that the proposal was outstanding, presenting a synergistic vision for "potentially transformative discovery in the broader context of fundamentals of data science".  Reviewers noted that each of the research themes addressed interesting problems, including challenges related to data acquisition and detecting algebraic structures in data.  The team includes investigators with excellent research records in foundations of data science, extensive interdisciplinary collaborations, and established track records of training and mentoring.  One reviewer remarked that the overlap between the PIs was "almost optimal", and appreciated the mix of both senior and junior investigators. _x000D_
_x000D_
The proposal also includes plans to engage domain scientists and engineers, and describes potential collaborations with local businesses and industry. _x000D_
_x000D_
The panel agreed that progress in many of the proposed research directions would have "substantial impact within the discipline" and noted the excellent environment at UW Madison to facilitate these activities.  _x000D_
_x000D_
Broader Impacts:  The PIs plan to train and mentor postdoctoral scholars and graduate students at the intersection of mathematics, statistics, and theoretical computer science.  A significant fraction of the budget was devoted to supporting junior researchers, students, and workshop participants.  The proposal includes an extensive plan for outreach through partnerships with the WID.  The PIs plan to visit K-12 students to talk about the impact of data on their daily lives.  Plans to develop undergraduate research programs are also described.  _x000D_
_x000D_
Reviewers appreciated the strong connections to real world data from applications related to cognitive neuroscience, gene regulatory networks, and phylogenetics.  _x000D_
_x000D_
TRIPODS-Specific Criteria:  _x000D_
_x000D_
Reviewers agreed that the proposal presented a well-integrated research and training program and the synergy between the different groups was well-articulated.    _x000D_
_x000D_
The panel found the collaboration and evaluation plan to be "a model of synergy between various groups", and liked the use of evaluation panels to assess the progress of the research agenda and identify "preparedness for a Phase II scale-up".  The proposal listed a number of center-like activities for Phase I and a well-developed stepwise plan towards a potential Phase II institute at UW Madison.  The panel found the project to be outstanding on all counts.  _x000D_
_x000D_
Summary and Rationale for Recommendation:  The TRIPODS Management Team agreed that the intellectual merit and broader impacts of the project were excellent.  The research addressed significant foundational data science challenges, with a well-integrated training program.  Given the existing initiatives and infrastructure at the University of Wisconsin, the Management Team agreed that the project was compelling and recommended an award at the requested level.   _x000D_
_x000D_
Recommendation: A three-year continuing award at the requested level of $1,499,523.  _x000D_
_x000D_
_x000D_
_x000D_
_x000D_
</t>
  </si>
  <si>
    <t xml:space="preserve">In the context of the five review elements, please _x000D_
evaluate the strengths and weaknesses of the proposal with respect to intellectual merit._x000D_
_x000D_
A well-written and interesting plan. Probably the most crisply written proposal in my pool._x000D_
_x000D_
It will create an institute for Foundations of Data Science at UW Madison and involves a collaboration of scientists from the three fields.  The team is strong and the list of problems being studied is impressive. _x000D_
_x000D_
Theme 1: List of problems on Algebra and Optimization was very good, with the hope of using polynomial systems of equations as a gateway to nonconvexity. (Aside: one weakness is that it isn't addressed how imprecision/noise would be handled in this setting, which is a known problem.) They will study 'deep' models which are cascades of polynomial maps (a reasonable model to understand). _x000D_
_x000D_
Theme 2 (Graphs and networks in data science) was also very well written and full of interesting problems. Some relationships were drawn to application domains such as evolutionary biology and neuroscience that seem genuine. I lked topic 2.2 (estimation in dynamic settings) which brings together statistics, dynamical systems, contagion processes etc. in a nice way. _x000D_
_x000D_
Theme 3 ('Data acquisition theory and methods' ---I like this new name for statistics by the way :) is also well-written and had some nice problems, including new robustified versions of regression type problems in underdetermined settings, interactive learning, machine teaching, bandit problems etc. _x000D_
_x000D_
Overall a very strong proposal from a good team that has clearly thought through how their activities fit into their university and in data science. Progress on these problems would have substantial impact within the discipline._x000D_
_x000D_
In the context of the five review elements, please _x000D_
evaluate the strengths and weaknesses of the proposal with respect to broader impacts._x000D_
_x000D_
The collaborations make sense and truly interdisciplinary. The proposal lists a very extensive set of outreach and mentoring activites: workshops, popular lectures, Science Narratives videos, training of underrepresented groups, outreach to local K-12 schools._x000D_
_x000D_
Please evaluate the strengths and _x000D_
weaknesses of the proposal with respect to any additional solicitation-specific review criteria, if _x000D_
applicable_x000D_
_x000D_
Very strong and coherent proposal that touches upon all points, with possible exception of direct collaboration with industry (which is probably not as easy in Wisconsin). The description of Phase I and Phase II were also well-written and convincing._x000D_
_x000D_
Summary Statement_x000D_
_x000D_
Excellent proposal._x000D_
_x000D_
</t>
  </si>
  <si>
    <t xml:space="preserve">In the context of the five review elements, please _x000D_
evaluate the strengths and weaknesses of the proposal with respect to intellectual merit._x000D_
_x000D_
This proposal comes from reputable researchers with a long list of achievements. They propose a good set of research themes. The first one "algebra and optimization" covers some aspects of machine learning and adds interesting ideas about the finding algebraic structures in data (which is the key of unsupervised learning). The second theme focuses on graph theory, an area with well developed synergies already. The third theme astutely works on the acquisition of data, an important problem often neglected._x000D_
_x000D_
Solid team_x000D_
+ Good set of research themes (the optimization part is in fact a ml part as well)_x000D_
+ They did not forget the data acquisition problems_x000D_
+ They did not forget the algebraic perspective on the data_x000D_
_x000D_
In the context of the five review elements, please _x000D_
evaluate the strengths and weaknesses of the proposal with respect to broader impacts._x000D_
_x000D_
The proposal quickly sets a series of milestones clearly intended towards making the institute a strong contender for phase 2. Most of the funds are allocated to supporting young researchers and grad students.  In addition the organizers plan to setup workshops and invite the members of the other phase 1 tripods institute. This also shows the desire to setup a strong contender for phase 2.  The evaluation of the progress will be carried out by panels (outside reviewers?) held on the side of the workshops._x000D_
_x000D_
Please evaluate the strengths and _x000D_
weaknesses of the proposal with respect to any additional solicitation-specific review criteria, if _x000D_
applicable_x000D_
_x000D_
_x000D_
_x000D_
Summary Statement_x000D_
_x000D_
This proposal is clearly written as a stepping stone towards phase 2. The research program is smart and does not forget data acquisition.  This is the most compelling proposal in my stack of reviews._x000D_
_x000D_
</t>
  </si>
  <si>
    <t>HE0952812</t>
  </si>
  <si>
    <t>Rigollet</t>
  </si>
  <si>
    <t>rigollet@math.mit.edu</t>
  </si>
  <si>
    <t xml:space="preserve">In the context of the five review elements, please _x000D_
evaluate the strengths and weaknesses of the proposal with respect to intellectual merit._x000D_
_x000D_
+ Outstanding proposal with excellent vision that builds upon existing strength and expands towards potentially transformative discovery in the broader context of fundamentals of data science that can be made possible only through true interaction._x000D_
+ Overlap between different PIs is almost optimal. Also good diversity in terms of seniority and expertise._x000D_
_x000D_
In the context of the five review elements, please _x000D_
evaluate the strengths and weaknesses of the proposal with respect to broader impacts._x000D_
_x000D_
+ A strong proposal regarding broader impacts with innovative outreach activities and educational plans._x000D_
+ PIs have a good track record of training students and postdocs._x000D_
_x000D_
Please evaluate the strengths and _x000D_
weaknesses of the proposal with respect to any additional solicitation-specific review criteria, if _x000D_
applicable_x000D_
_x000D_
+ Evaluation plan is well thought out (especially the outside review panel) with a clear path towards phase II._x000D_
+ Budget towards meetings and training is an optimal allocation of funds._x000D_
_x000D_
_x000D_
Summary Statement_x000D_
_x000D_
A truly outstanding proposal that fits very well in the TRIPODS call. It has a great potential to leverage synergies between the three disciplines and have a significant impact on foundations of data science._x000D_
_x000D_
</t>
  </si>
  <si>
    <t xml:space="preserve">Nandini:_x000D_
_x000D_
Thank you for your request for OMA co-funding of this TRIPODS project, which is a partnership between MPS/DMS and CISE/CCF.  On the bases of its merits and its rich, multidisciplinary character, John and I enthusiastically support it and offer OMA co-funding in the requested amount of $2.00M.  For the OMA split funding line in eJ, please select John Gillaspy as the PO, use OMA Org and PE codes, 03060000 and 1253, respectively, and apply the same PRCs to the OMA funding line as to all DMS sources of funds.  Finally, please upload this message into eJ as a diary note to serve as a record of this OMA co-funding action._x000D_
_x000D_
_x000D_
Clark_x000D_
_________________________________________x000D_
Clark V. Cooper_x000D_
Senior Advisor for Science_x000D_
Head, Office of Multidisciplinary Activities_x000D_
Directorate for Mathematical and Physical Sciences_x000D_
National Science Foundation_x000D_
4201 Wilson Boulevard_x000D_
Suite 1005_x000D_
Arlington, VA  22230-0002_x000D_
(703) 292-7899_x000D_
ccooper@nsf.gov_x000D_
_________________________________________x000D_
_x000D_
From: Kannan, Nandini _x000D_
Sent: Wednesday, May 24, 2017 6:06 PM_x000D_
To: Cooper, Clark V. &lt;CCOOPER@nsf.gov&gt;_x000D_
Cc: Gillaspy, John D. &lt;JGILLASP@nsf.gov&gt;; Luo, Tie &lt;tluo@nsf.gov&gt;_x000D_
Subject: RE: OMA Co-funding for TRIPODS_x000D_
_x000D_
Dear Clark,_x000D_
_x000D_
Thank you for the quick response! We would like to request 2 million from OMA for the TRIPODS projects.  DMS has committed 2 million/year for FY17, FY18, and FY19, with an equal contribution from CISE/CCF (total of 12 million for TRIPODS Phase I)._x000D_
_x000D_
We are planning to make all the awards continuing (the requested budgets are all close to the maximum of 1.5 million for 3 years.)_x000D_
_x000D_
The OMA contributions could be used in FY 17 (or out-years if you prefer.)  We would like to request $500,000 from OMA for each of the 4 highly recommended projects:_x000D_
_x000D_
1740822 Data Science for the Social Good _x000D_
PI Weinberger, Kilian; Cornell University _x000D_
_x000D_
1740833 From Foundations to Practice of Data Science and Back _x000D_
PI Wright, John N.; Columbia University_x000D_
_x000D_
1740707, Institute for Foundations of Data Science_x000D_
PI Wright, Stephen J.     University of Wisconsin-Madison  _x000D_
 _x000D_
1740551, Algorithms for Data Science: Complexity, Scalability, and Robustness._x000D_
PI Kakade, Sham; University of Washington  _x000D_
_x000D_
Thank you and regards,_x000D_
_x000D_
Nandini_x000D_
_x000D_
Nandini Kannan, Ph. D. _x000D_
Program Director, Statistics_x000D_
Division of Mathematical Sciences_x000D_
National Science Foundation_x000D_
Email: nakannan@nsf.gov_x000D_
Telephone: 703-292-8104_x000D_
_x000D_
</t>
  </si>
  <si>
    <t>1740728</t>
  </si>
  <si>
    <t>Yang</t>
  </si>
  <si>
    <t xml:space="preserve">The review process for the Transdisciplinary Research in Principles of Data Science Phase I solicitation, (NSF 16-615), is described in the context statement. _x000D_
 _x000D_
Reviewers were encouraged to provide feedback on the standard NSF review criteria and the TRIPODS  Specific Review Criteria which can be found in Section A at: https://www.nsf.gov/pubs/2016/nsf16615/nsf16615.htm_x000D_
 _x000D_
This proposal was lacking with respect to one or more categories of review as commented on in the panelists' reviews. Projects were required to describe a well-integrated research and training program focused on the theoretical foundations of data science and fostering collaboration and interaction among the three communities of TRIPODS - mathematics, statistics, and theoretical computer science.  Scientific merit included assessment of the team's ability to articulate a vision for the theoretical foundations of data science and describe synergy between the different groups.  _x000D_
 _x000D_
After seeing the submitted reviews, the panelists agreed that the reviews adequately described the relative strengths and weaknesses of the proposal.  This proposal was part of a group that was not selected for in-depth discussion by the panel and placed in the "Not Discussed in Panel" category.  No panel summary was produced for proposals placed in this category._x000D_
 _x000D_
The Management Team evaluated each proposal for funding in light of its intellectual merit and broader impacts relative to the goals of the TRIPODS program, taking into account the reviews and ratings.  The team also considered this proposal in relation to other proposals reviewed in this and other panels, the need to maintain appropriate balance among subfields, the total amount of funds available to the program for new proposals, and general Foundation policies. _x000D_
 _x000D_
The Management Team concurred with the overall assessment of the panel and recommended this proposal be declined._x000D_
 _x000D_
Nandini Kannan, Program Officer _x000D_
Division of Mathematical Sciences _x000D_
Aug 7, 2017 _x000D_
 _x000D_
On behalf of the TRIPODS Management Team _x000D_
Nandini Kannan _x000D_
Tracy Kimbrel _x000D_
Jack Snoeyink _x000D_
Christopher Stark_x000D_
 _x000D_
</t>
  </si>
  <si>
    <t>ZP0930146</t>
  </si>
  <si>
    <t>Andoni</t>
  </si>
  <si>
    <t>andoni@cs.columbia.edu</t>
  </si>
  <si>
    <t xml:space="preserve">In the context of the five review elements, please _x000D_
evaluate the strengths and weaknesses of the proposal with respect to intellectual merit._x000D_
_x000D_
The research component is based on a few problems in machine_x000D_
learning/optimization, including SVD-free methods for some_x000D_
optimization algorithms, and learning of non-linear functions._x000D_
_x000D_
Strengths:_x000D_
+ the authors have done work in the area before, and are knowledgeable_x000D_
about the problems_x000D_
Weaknesses:_x000D_
- the problems seem quite specific, in fact the proposal feels like a_x000D_
standard research proposal on a more focused theme_x000D_
- there is not much synergy between the 3 focus fields that I_x000D_
identified. For example, the TCS part is essentially missing (or the_x000D_
connections are not explained well)._x000D_
_x000D_
The center-like activities are only briefly described. There are_x000D_
mostly the usual ones: training students and creating new classes. It_x000D_
now well described how these would benefit from (or address) the_x000D_
confluence of the 3 fields. The two somewhat more elaborate items are:_x000D_
- summer school_x000D_
- master students certificate._x000D_
_x000D_
_x000D_
In the context of the five review elements, please _x000D_
evaluate the strengths and weaknesses of the proposal with respect to broader impacts._x000D_
_x000D_
Broader impact is relatively standard: new classes, research impacting_x000D_
(particularly) machine learning. The center building activities also_x000D_
entail a summer school and MS certificate._x000D_
_x000D_
_x000D_
Please evaluate the strengths and _x000D_
weaknesses of the proposal with respect to any additional solicitation-specific review criteria, if _x000D_
applicable_x000D_
_x000D_
The broad themes are not explicitly addressed, but some of them_x000D_
transpire through the proposal, in particular that the PIs are aware_x000D_
of the applications and seem keen to applying their methods to real_x000D_
data in concrete applied domains._x000D_
_x000D_
With respect to other items, here are things that stand out:_x000D_
+ the PIs address the Phase II transition_x000D_
+ there's a good evaluation plan_x000D_
- integration of research and training is under-developed_x000D_
- collaboration and synergy between the 3 fields is not_x000D_
addressed. combined with a heavy field bias of the research program,_x000D_
this feels like an important downside._x000D_
- it is not clear what would be a forcing function to make the PI meet_x000D_
and collaborate._x000D_
_x000D_
_x000D_
Summary Statement_x000D_
_x000D_
Overall, this is a sound proposal, which can lead to progress on_x000D_
research topics proposed herein. The main deficiency of the proposal_x000D_
is that:_x000D_
- the 3 fields are not well represented, and there isn't a clear_x000D_
synergetic plan of activities that would create something at the_x000D_
confluence of the 3 fields._x000D_
The proposal seems better suited for a field-specific panel._x000D_
_x000D_
_x000D_
</t>
  </si>
  <si>
    <t xml:space="preserve">In the context of the five review elements, please _x000D_
evaluate the strengths and weaknesses of the proposal with respect to intellectual merit._x000D_
_x000D_
The proposal is  to address the gaps in adopting/applying existing techniques to large-scale learning. _x000D_
PIs focus on complex learning problems with sophisticated regularizers, nonlinear models, resource-constrained ones etc. _x000D_
PIs propose to use existing tools  to address these problems but also develop new tools like distributed solutions, working with reduced data, _x000D_
improved gradient descent, and approximations for non-linear problems._x000D_
_x000D_
Strengths:_x000D_
- PIs identify many learning and prediction problems. _x000D_
- PIs propose detailed educational and organizational activities. _x000D_
_x000D_
Weaknesses:_x000D_
- The specific problems, while important, are not novel. _x000D_
- The proposed methods are derivative, and it is not clear what is novelty in math, stats or theory CS in the directions PIs pursue. _x000D_
_x000D_
_x000D_
In the context of the five review elements, please _x000D_
evaluate the strengths and weaknesses of the proposal with respect to broader impacts._x000D_
_x000D_
Broader impacts._x000D_
- Progress on these problems will be of interest in applied areas.  _x000D_
- Detailed discussion of curricula development and training. _x000D_
- Have letter of partnership from industry. _x000D_
_x000D_
Weaknesses:_x000D_
-  The impact will be greater if the PIs attacked a few focused application domains with these tools to tease out new insights._x000D_
_x000D_
Please evaluate the strengths and _x000D_
weaknesses of the proposal with respect to any additional solicitation-specific review criteria, if _x000D_
applicable_x000D_
_x000D_
Strengths: _x000D_
- Large scale learning problems with these complexities the PIs study are of interest in practice._x000D_
- Worked out details of the center of activity, with evaluation, training and Phase II. _x000D_
_x000D_
Weaknesses:_x000D_
-  In terms of the research scope, the proposal reads more like one sent to a  focused call on learning than one to a broader data science context of TRIPODS. A larger context and bigger scope in Data Science will be interesting. _x000D_
_x000D_
_x000D_
Summary Statement_x000D_
_x000D_
PIs propose to study complex learning problems. But the problems are not novel and the methods appear to be derivative.  PIs should articulate a larger Data Science scope for math/stats/theory CS foundational research._x000D_
_x000D_
</t>
  </si>
  <si>
    <t xml:space="preserve">In the context of the five review elements, please _x000D_
evaluate the strengths and weaknesses of the proposal with respect to intellectual merit._x000D_
_x000D_
Strengths: _x000D_
_x000D_
+ The proposed research activities include developing SVD-free algorithms for learning large matrix models, learning flexible Bayesian models, approximate learning of non-linear functions, and multi-fidality information fusion. These are important problems in learning from big data. _x000D_
_x000D_
+ The PIs have strong track record. The proposed research will mostly likely be successful. _x000D_
_x000D_
Weaknesses: _x000D_
_x000D_
- The proposed research does not address the broader foundational issues of data science. _x000D_
_x000D_
- There is no much synergy between researchers from theoretical CS, math and stat._x000D_
_x000D_
In the context of the five review elements, please _x000D_
evaluate the strengths and weaknesses of the proposal with respect to broader impacts._x000D_
_x000D_
Strengths: _x000D_
_x000D_
+ The proposal contains plan on education and training, as well as collaborations. It also contains timeline and milestones. _x000D_
_x000D_
Weaknesses: _x000D_
_x000D_
- The institutional activities are not strong. The proposal is more like a research proposal than a center proposal._x000D_
_x000D_
- The plan on organization and outreach is not particularly strong._x000D_
_x000D_
Please evaluate the strengths and _x000D_
weaknesses of the proposal with respect to any additional solicitation-specific review criteria, if _x000D_
applicable_x000D_
_x000D_
Strengths: _x000D_
_x000D_
+ The proposed research on large scale learning is important for machine learning. _x000D_
_x000D_
+ The PIs have strong track record. _x000D_
_x000D_
Weaknesses: _x000D_
_x000D_
- The synergy among theoretical computer science, statistics and mathematics is not strong. _x000D_
_x000D_
- The institutional center-like activities, including organization, management and outreach activities, are not strong. _x000D_
_x000D_
- The research plan does not address the broader issues in data science. There is not a clear vision for the foundation of data science._x000D_
_x000D_
Summary Statement_x000D_
_x000D_
This is a good proposal. The research problems are interesting and important. The proposed solutions are novel. The PIs are strong researchers who will most likely carry out the proposed research successfully. The main concern is that it is not a tight fit to the program. In particular, the organizational and management plan for developing a center and move it to Phase II is not very strong._x000D_
_x000D_
</t>
  </si>
  <si>
    <t>1740733</t>
  </si>
  <si>
    <t>Rajan</t>
  </si>
  <si>
    <t xml:space="preserve"> Panel Summary       
 Description: Creates a Dependable Data Science Institute based at Iowa State and Indiana focusing on four threats to dependability: Complexity, Certainty, Privacy and Quality. Broader impact activities include workshops, summer school, data science training repository, curriculum development and research-based student training._x000D_
_x000D_
Intellectual Merit: _x000D_
_x000D_
Strengths _x000D_
+ Strong vision of dependable data science and threats areas._x000D_
+ Representation in all three disciplines (TCS, math, statistics)_x000D_
_x000D_
Weaknesses _x000D_
- Details of research in the threats was not compelling._x000D_
- Algorithms and stats connections are not fully formed._x000D_
_x000D_
Broader Impact:_x000D_
_x000D_
Strengths _x000D_
+ Strong collection of broader impact topics_x000D_
+ Involves undergraduates and underrepresented groups in research and institute activities. _x000D_
_x000D_
Weaknesses _x000D_
- Each section builds more on established activities than generating new ideas._x000D_
- No major connections to industry_x000D_
_x000D_
TRIPODS-specific criteria: _x000D_
_x000D_
Strengths _x000D_
+ Strong structure and leadership plan around vision and threats areas._x000D_
+ Researchers across all three disciplines_x000D_
_x000D_
Weaknesses _x000D_
- Needs strong programs to connect researchers at different institutions_x000D_
- Needs more synergistic activities between disciplines_x000D_
_x000D_
Collaboration and Evaluation Plan: Good_x000D_
_x000D_
Data Management Plan: Needs more details about sharing data and privacy issues._x000D_
_x000D_
Justification for Panel Rating: While the proposal has a nice vision, the panel was not convinced the specific research described would have a significant impact on the field._x000D_
_x000D_
Panel Rating: _x000D_
_ Highly Recommended _x000D_
_ Recommended _x000D_
X Not Recommended _x000D_
_x000D_
The summary was read by/to the panel and the panel concurred that the summary accurately reflects the panel discussion. 
</t>
  </si>
  <si>
    <t xml:space="preserve">Dear Professor Rajan and Professor Plale, _x000D_
_x000D_
I regret to inform you that the NSF proposal CCF 1740733; 1740639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CCF 1740733; 1740639 _x000D_
Title: Collaborative Research: Dependable Data Science Institute _x000D_
PIs: Hridesh Rajan, Pavan Aduri, Chinmay Hegde, Eric Weber, Zhengyuan Zhu; Beth A. Plale, Devan R. Dopnaldson, Vijay Khatri, Inna Kouper _x000D_
Institution: Iowa State University; Indiana University_x000D_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This collaborative proposal from two campuses sets a goal of developing foundations for dependable data science, which is understood in terms of trustworthy and robust data science lifecycles.  Lifecycles in this context refers to the processes that plan for, acquire, manage, analyze, and infer from data._x000D_
_x000D_
Broader impacts described in the project summary include work with graduate students and postdoctoral researchers, undergraduate and graduate curriculum development, and continuing education for data science practitioners and early career researchers._x000D_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E/V, V/G, and G._x000D_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review with the E/V summary rating is an apparent outlier on the basis  of that rating.  Although this reviewer found the proposal to be well constructed in terms of integrating the three TRIPODS communities and designing a  collaboration plan, some criticisms are offered of features essential  for the TRIPODS solicitation, especially the transition from phase I to phase II of activity._x000D_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</si>
  <si>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This is well-thought through proposal and has concrete research and_x000D_
center-building activities. It is nice that the PI team is at least_x000D_
attempting to create a unique vision for what the (research part of_x000D_
the) institute would stand for: what they call "dependable data_x000D_
science"._x000D_
_x000D_
The research part is composed of 4 directions (called "attributes"):_x000D_
complexity, certainty, privacy, and data quality. It is hard to assess_x000D_
how well these are connected. Treating them separately:_x000D_
1. Complexity: some parts of this direction are important, timely directions,_x000D_
connected to known questions in TCS. One downside here is that some of_x000D_
the directions do not seem to be directly related to PIs' expertise,_x000D_
and would seem to be new undertakings for them._x000D_
2. Privacy: sets up an interesting direction by considering explicitly_x000D_
how _cost_ interacts with privacy. This sounds promising and well presented._x000D_
3. Certainty: like above, this sounds promising._x000D_
4. Data quality: this part is quite vague and I'm not quite sure how_x000D_
"foundational" it is (at least in the context of the TCS+Math+Stats_x000D_
CFP)._x000D_
_x000D_
The fields seem well represented but it is not clear to what degree_x000D_
there's real synergy, or potential for it: the directions seem to be_x000D_
more focused on a particular topic. There's a discussion about_x000D_
cross-attribute collaboration, but it didn't present anything really_x000D_
new._x000D_
_x000D_
Center building is described well. Things worth emphasizing:_x000D_
+ collaboration between 2 universities_x000D_
+ already organized a Midwest Data Science summer school_x000D_
+ workshop may be collocated with Midwest BD Hub_x000D_
+ emphasis on data literacy to broader audience through via a_x000D_
"training repository"_x000D_
+ the PI have great track-record at hiring under-represented groups,_x000D_
and undergrads._x000D_
- curricula development is rather about individual subjects, not_x000D_
synergy between them_x000D_
_x000D_
_x000D_
In the context of the five review elements, please _x000D_
evaluate the strengths and weaknesses of the proposal with respect to broader impacts._x000D_
_x000D_
The broader impacts are mainly the above mentioned center-building_x000D_
activities. Some of them go much beyond the usual BI items, and hence _x000D_
I would consider them strong._x000D_
_x000D_
_x000D_
Please evaluate the strengths and _x000D_
weaknesses of the proposal with respect to any additional solicitation-specific review criteria, if _x000D_
applicable_x000D_
_x000D_
Perhaps the best aspect of the proposal is a drive to have a common_x000D_
theme/vision for the institute. It is not clear to me to which degree_x000D_
they succeed to present it as such (rather than putting expertise of_x000D_
the diverse team together), but there could be potential._x000D_
_x000D_
It is a highly diverse group, comprising a number of universities. PI_x000D_
Rajan (@ ISU) commits to 15-20% of time to managing the team. The_x000D_
meetings are virtual, and via rare workshop._x000D_
_x000D_
The themes span all disciplines, but it doesn't feel very integrated._x000D_
_x000D_
There's good potential for collaboration with domain sciences (eg, via_x000D_
some of the SP) and industries._x000D_
_x000D_
_x000D_
Summary Statement_x000D_
_x000D_
Overall, this is a well-developed proposal by a large collaborative_x000D_
team. Its advantage seems to be the collection of large diversity of_x000D_
expertise. The disadvantage is that the proposal is still a collection_x000D_
of research directions which, (mostly) solid in their discipline, do_x000D_
not provide a clear picture how their collaboration would give more_x000D_
than the sum of its parts._x000D_
_x000D_
_x000D_
</t>
  </si>
  <si>
    <t xml:space="preserve">In the context of the five review elements, please _x000D_
evaluate the strengths and weaknesses of the proposal with respect to intellectual merit._x000D_
_x000D_
This proposal between Iowa State and Indiana University focuses on what they call the foundations of Dependable Data Science, basically eliminating or mitigating the threats to successful interpretation and decision making at the end of the data science life cycle. There are four main components in their mission, with an explicit acknowledgment the list is incomplete. _x000D_
- Certainty - Bias and measurement error in data_x000D_
- Complexity - New algorithmic approaches to overcome complexity_x000D_
- Privacy - logical formalisms of privacy, a bit of a different approach than differential privacy_x000D_
- Quality - Taking domain knowledge into account and being careful on data misuse_x000D_
_x000D_
The proposal does a nice job formalizing dependable data science and showing how each of these four areas reach across the three communities (theoretical CS, math and statistics). _x000D_
_x000D_
The PIs and researchers involved (25 biosketches) are very good researchers in the various problems they are attacking, though not necessarily the very top. Still the breadth and strength is impressive._x000D_
_x000D_
_x000D_
_x000D_
In the context of the five review elements, please _x000D_
evaluate the strengths and weaknesses of the proposal with respect to broader impacts._x000D_
_x000D_
The broader impacts include courses, workshops and summer schools built upon the research themes, training and research opportunities for graduate and undergraduate students. The most innovative broader impact is developing and expanding the data science training repository. Most of these broader impacts have people who already have some experience in these areas._x000D_
_x000D_
The main weakness is a lack of significant industry connections. Connections to applied areas seems to be left to phase II._x000D_
_x000D_
_x000D_
Please evaluate the strengths and _x000D_
weaknesses of the proposal with respect to any additional solicitation-specific review criteria, if _x000D_
applicable_x000D_
_x000D_
The proposal does an strong job of integrating the three communities in both research and training, has a nice vision and a good synergistic plan. For the broad themes it hits well on developing common terminologies and concepts, unifying curricula and end-to-end provenance. _x000D_
_x000D_
The collaboration plan has a nice two-dimensional structure, from the three communities to the four core areas with people designated to reach across and help unify the researchers. _x000D_
_x000D_
The tricky part is coordinating between the two main universities, 500 miles apart, as well as a few other universities in the Midwest. The plan is to have virtual and physical meetings, as well as data and code repositories. _x000D_
_x000D_
There is a very well-thought out description of success via impact with measurable outcomes._x000D_
_x000D_
The transition to phase II is not well spelled out._x000D_
_x000D_
The name "Dependable Data Science Institute" is fine but not very catchy. _x000D_
_x000D_
_x000D_
Summary Statement_x000D_
_x000D_
Overall this proposal does a really nice job creating a vision and integrated research plans directly on topic for a potential institute. While there is some disconnect to applications and industry, particularly in phase I, this proposal seems to hit the right notes. _x000D_
_x000D_
_x000D_
</t>
  </si>
  <si>
    <t xml:space="preserve">In the context of the five review elements, please _x000D_
evaluate the strengths and weaknesses of the proposal with respect to intellectual merit._x000D_
_x000D_
Stated project focus is on "top-down modeling as a paradigm for approximation". While intuitively compelling, this focus came off as too vague (apart from ruling out things like average linkage clustering) such that I'm not sure what the goal/proposal really is, or that it really linked the suggested diverse efforts. _x000D_
_x000D_
Some nice questions being asked here, but not clear the researchers have impactful ideas to answer them. _x000D_
_x000D_
For example, the application to modeling local traffic flows as a function of location/weekday/season. Very hard to beat industry (e.g. Google Maps/Waze/Apple/etc.) at this just due to data, but also due to large-scale computation/storage and algorithms. Still a worthwhile pursuit if there had been a novel/modern take, but I didn't see that. _x000D_
_x000D_
Dynamic identification of heavy subgraphs - didn't see how this matched the top-down approximation paradigm (not that it needed to) but reduces the sense of synergy. _x000D_
_x000D_
Memory-efficient graph algorithms - a problem of perennial importance, but also very mature field, and again one hard to compete with industry on - didn't see new ideas that made that seem like a good investment._x000D_
_x000D_
Dynamic sampling using the Kaczmarz algorithm in a dynamic environment - didn't quite get the story here._x000D_
_x000D_
Privacy: Logical models and paradigms - this seemed potentially interesting but I don't know this literature well enough to judge._x000D_
_x000D_
Certainty: proposal notes selection bias issues in sampling (yes, great!) and proposes a propensity type approach: building a model for the selection P(selected|x_i,y_i), and then upweight samples to correct.  This is a great problem, but not clear there are new ideas here or whether there would be impact. This are some  subtle issues to this problem that I'm not confident the proposers are thinking through. First, take the problem of selection bias/coverage bias just affecting the X's sampled (that is, say for the moment P(Y|X) is sampled correctly), for example: modern ML systems the models have a lot of flexibility, and so down-weighting over-sampled parts of the feature-space may not do anything (because you're essentially learning all parts of the space indepdendently), more troubling in low-flexibility models where the parameters have to trade-off accuracy on different parts of the feature space, by upsampling you may focus the parameters more fairly on the right parts of the space, but you may end up with a less accurate model (even on the true target distribution) because you down weighted areas of the space where you had enough data to do a good job estimating. At the other extreme, suppose one has the scenario the X's are correctly sampled, but in such a way that  P(Y|X) is incorrect for example, everyone answers the survey, every X is equally likely to answer a survey, but those X's with Y = 1 are more likely to have answered. In this scenario, if you could estimate the right P(Y|X), then you'd have solved the problem you are trying to solve (that is, the proposed approach seems a bit circular)._x000D_
_x000D_
_x000D_
In the context of the five review elements, please _x000D_
evaluate the strengths and weaknesses of the proposal with respect to broader impacts._x000D_
_x000D_
Some great research questions that I think would excite people from broad/diverse backgrounds and specialities. _x000D_
_x000D_
Proposal plan was reasonable and well-organized._x000D_
_x000D_
Team and institution are proposing activities they have notable expertise and resources for._x000D_
_x000D_
_x000D_
_x000D_
_x000D_
_x000D_
Please evaluate the strengths and _x000D_
weaknesses of the proposal with respect to any additional solicitation-specific review criteria, if _x000D_
applicable_x000D_
_x000D_
Forward-looking research questions that could have impact and will be still relevant 3-5 years from now (great!)._x000D_
_x000D_
Would have liked to see more clear synergies._x000D_
_x000D_
_x000D_
_x000D_
Summary Statement_x000D_
_x000D_
Great research questions, but proposed research not clearly compelling, and a lot of overlap with industry on hard-to-compete issues without proposing different ideas/advantages._x000D_
_x000D_
</t>
  </si>
  <si>
    <t>Data-driven decisions are critical for modern society since unreliable decisions can have far-reaching and catastrophic consequences on society, defense, and the individual. Consequently, we will develop a collaborative institute that will bring together a transdisciplinary group of scientists from TRIPODS disciplines to develop theoretical foundations for dependable data science. We define the processes that plan for, acquire, manage, analyze, and infer from data collectively as data science lifecycle, and dependable data science as the science of understanding the threats to, formalizing the attributes of, and developing means by which dependability is attained in data science lifecycles. We define dependability of a data science lifecycle to be the ability to deliver decisions that can justifiably be trusted.We will advance dependable data science by fostering foundational research that will understand the threats to the data science lifecycle, formalize the rigorous mathematical basis of the attributes of dependability for data science lifecycles, and identify means to create dependable data science lifecycles. We define a threat to be a cause that can lead to failures in data-driven decisions. We define an attribute as a facet of dependability. There is a rich body of work on the dependability of computer systems. However, unique aspects of data science lifecycle especially its focus on data and data-driven decisions require us to understand, adapt, and, if necessary, rethink the theoretical foundations of dependability for data science. In Phase I, we will focus on four attributes: complexity, certainty, privacy, and data quality. While other characteristics are important also, selecting these four attributes will allow us to focus our team's efforts while providing us with foundational tools and frameworks to investigate other attributes in Phase II. We will carry out three kinds of activities: building shared vocabulary among TRIPODS communities, research means to attain dependability, and organize capacity building activities to build interest in dependable data science further. The institute will leverage its strong ties and collaborate with the Midwest Big Data Hub (MBDH) to outreach to industry, government, and nonprofit partners.This institute's work will increase data science's benefit to society by providing a transformative theory of dependable data science through:_x000D_
_x000D_
- Developing concepts and common vocabulary for dependable data science to bridge the gap between data scientists from the computer science, statistics, and mathematics communities._x000D_
_x000D_
- Setting the research direction for dependable data science, by funding foundational research._x000D_
_x000D_
- Participation in research activities by, and professional training opportunities for, graduate students and postdoctoral students._x000D_
_x000D_
- Integration of these findings with the data science graduate and undergraduate curriculum at our respective universities._x000D_
_x000D_
- Conducting community-building workshops on dependable data science and more focused workshops on attributes such as data quality_x000D_
_x000D_
- Educating professionals in dependable data science by conducting activities such as the annual Midwest Big Data Summer School - a one-week, workforce development program with an intensive curriculum aimed at practitioners and early career researchers._x000D_
_x000D_
- Collaboration with domain experts as well as training of students outside of the TRIPODS disciplines._x000D_
_x000D_
These activities will set the foundations for the Dependable Data Science Institute in Phase II.</t>
  </si>
  <si>
    <t>1740736</t>
  </si>
  <si>
    <t>Daniels</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</si>
  <si>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Foundations of Data Science_x000D_
_x000D_
L: 1740736 Daniels, Noah U of Rhode Island $ 1,319,163_x000D_
_x000D_
_x000D_
P172027 NDP TRIPODS Panel 1, Not Discussed in Panel (F,P,P)_x000D_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</si>
  <si>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ZS0862071</t>
  </si>
  <si>
    <t>Achlioptas</t>
  </si>
  <si>
    <t>optas@cs.ucsc.edu</t>
  </si>
  <si>
    <t xml:space="preserve">In the context of the five review elements, please _x000D_
evaluate the strengths and weaknesses of the proposal with respect to intellectual merit._x000D_
_x000D_
I could not see how this proposal would significantly advance fundamental research and training in the theoretical foundations of data science. The proposal is to create an "institute that will focus on fundamental techniques and algorithms for exploring data sets... More fundamentally, the Institute seeks to understand the nature of data generated by such processes: what laws can be formulated to describe the behavior of data-generating processes?" _x000D_
_x000D_
I found the above way too generic to be useful. When the proposal becomes more concrete, the topics identified are these:_x000D_
_x000D_
- Sublinear-time algorithms: a reasonable topic but not foundational to data science._x000D_
_x000D_
- Dimension-reduction and visualization of high-dimensional spaces: no new ideas or approaches are presented for this._x000D_
_x000D_
- Property testing of functions, graphs, and sequences: also a reasonable topic, but even more removed from data science. To be clear: it is perfectly reasonable to hope that in several years we will have discovered deep connections between testability and, say, generalization. The problem is that the proposal does not offer any potential route for this._x000D_
_x000D_
- Statistical properties and model building: "We propose to explore the use of alternative estimation methods with attractive statistical properties, such as quasi-likelihood, estimating functions, and composite likelihood." This definitely does not sound like research at the theoretical foundations of data science. _x000D_
_x000D_
_x000D_
_x000D_
In the context of the five review elements, please _x000D_
evaluate the strengths and weaknesses of the proposal with respect to broader impacts._x000D_
_x000D_
The proposal did identify specific broader impact activities and clearly describe the roles of project personnel in addressing these challenges._x000D_
_x000D_
Please evaluate the strengths and _x000D_
weaknesses of the proposal with respect to any additional solicitation-specific review criteria, if _x000D_
applicable_x000D_
_x000D_
I did not find that the proposal did a good job at integrating mathematics, statistics, and theoretical computer science._x000D_
_x000D_
Summary Statement_x000D_
_x000D_
This proposal was at the overall bottom 1/3 of my proposals._x000D_
_x000D_
</t>
  </si>
  <si>
    <t xml:space="preserve">In the context of the five review elements, please _x000D_
evaluate the strengths and weaknesses of the proposal with respect to intellectual merit._x000D_
_x000D_
This proposal aims to set up a new Institute for Foundations of Data Science. The institute will focus on analyzing data, leveraging its access to various data sets such as biological (via collaboration with the College of Environmental and Life Sciences at URI) and oceanographic data sets (via collaboration with the Graduate School of Oceanography at URI). URI is setting up a separate Data Institute, and the PIs envision merging with this other institute for Phase II._x000D_
_x000D_
The group's initial focus will be on methods for analyzing high-dimensional data sets generated in certain domain-specific ways (that  might be known or unknown). They will use knowledge from the domains as well as foundational knowledge to develop techniques for understanding the underlying framework. There are three PIs, one from each discipline mentioned in the CFP. The PIs will reach out to departments such as Environment and Life Science, and Oceanography, for domain and application information in order to help understand the geometric properties underlying domain data/data generation. The sub-areas involved will be algorithms, dimension reduction and visualization, property testing on graphs, and statistical model building. URI has hired a new cohort of nine Data Science faculty; thePIs will collaborate with those faculty in research and/or teaching and training. As URI is developing new DS programs, the PIs have developed/are developing  new DS courses and modifying existing courses to have more of a DS focus. This effort will interact with this project, as I understand, due to an organic connection of similarity of area and intersection of personnel. They will interact with other regional universities and institutes within those in terms of access for data and exchange of ideas for research and training. (multiple LoC are presented.) There will be three postdocs and three graduate students. The group will have a seminar series and two workshops._x000D_
_x000D_
In this proposal, the specific research area is fairly well defined, but a more detailed explanation is lacking, or not entirely convincing. Some of the areas they mention are quite mature, and the PIs' individual roles are unclear._x000D_
_x000D_
The proposal describes research topics in pretty general terms; yet it does specify a direction. In addition, it lays out some concrete directions in terms of how it will have access to data, what type of data, etc. The division of labor is not explicit, but it can be inferred from the research problems to some extent. The proposed center is small -- in addition, URI has a new set of DS faculty and a new center so it's not entirely clear how these two centers as well as their activities will relate to each other. It is also not clear why a second center is necessary, why the members of the other center are not part of this proposal, why the two are expected to merge for Phase II._x000D_
_x000D_
The proposal is more on interaction among the three PIs than among the three communities (the larger center may be better positioned to provide that interaction). The problems span the three disciplines, but three PIs with limited experience in this area seems to be below critical mass. As a result, proposed broad themes are not as strong as one would like._x000D_
_x000D_
There is implicitly a common terminology and set of concepts developed here. There is indeed an eye on applications, at least, on real data, which is a strength of this proposal. While research topics are laid out, it is indeed a small, mostly junior team (and one not particularly consisting of experts in all of these fields) while a larger team exists within their reach, so I'm not sure how appropriate the scope is. In terms of curriculum development, again, the university seems to be making an effort, but the PIs are a small part of this effort. In short, I think this team would benefit from a couple more members and possibly more leadership._x000D_
_x000D_
In the context of the five review elements, please _x000D_
evaluate the strengths and weaknesses of the proposal with respect to broader impacts._x000D_
_x000D_
The broader impacts include improving our understanding of data and data creation as a structured process. Developments in this direction could potentially have implications various areas involving real life. The PIs leverage their institution's (as well as their geographic area's) strengths in this regard, which is a smart move. While the roles of the PIs are well defined in these, the other impacts of this work will be mostly on researchers in the field and students._x000D_
_x000D_
Please evaluate the strengths and _x000D_
weaknesses of the proposal with respect to any additional solicitation-specific review criteria, if _x000D_
applicable_x000D_
_x000D_
I feel both the research and training programs are well meant, and sensible, however, they are a small part of a whole happening at their institution, and it is hard to evaluate them in isolation. They are well integrated, but are missing critical mass. That said, they are well within the broad theme of this program. They do address workforce development, though not in novel terms. Again, with three people what they can achieve is limited. There is synergy between the people representing the groups, but they do not seem to speak for the groups nor for the DS effort at URI. In terms of the vision, I think the group is missing the theoretical computer science focus and mission a bit. I think the quality of the collaboration and its value will be high, as the researchers are strong and they have a good (though limited) direction to go. The strengths are certainly complementary (but not as broad as would be required for a project such as this). The interaction with the domain sciences is perhaps the strongest aspect of this proposal, as they want to understand the domain specific structure of their data and have access to domain specific data. Regarding Phase II, they mention that the DS institute at URI is expected to join them (even though the LOC makes a somewhat more limited commitment) -- I am not sure why or how that would happen, given the lack of contribution from the newly hired large group, or the administration of the center._x000D_
_x000D_
Summary Statement_x000D_
_x000D_
This proposal is a bit thin; the group, while individually strong, is mysteriously small and there are gaps in the expertise. I don't see this becoming a successful Phase II proposal._x000D_
_x000D_
</t>
  </si>
  <si>
    <t>US0740766</t>
  </si>
  <si>
    <t>Farmer</t>
  </si>
  <si>
    <t>farmer@aimath.org</t>
  </si>
  <si>
    <t xml:space="preserve">In the context of the five review elements, please _x000D_
evaluate the strengths and weaknesses of the proposal with respect to intellectual merit._x000D_
_x000D_
The proposal involves the creation of a research group for the study_x000D_
of four different problems in the area of big data.  The problems_x000D_
all involve a combination of math, stat, and CS, and all concern_x000D_
the theoretical foundation of data science. This would be a_x000D_
strong proposal if it were submitted to a program that supports_x000D_
the creation of such a research group.  But as a TRIPODS proposal it_x000D_
is inadequate because it:_x000D_
_x000D_
- does not describe novel center-like activities_x000D_
_x000D_
- does not make strong connections outside the core research group_x000D_
_x000D_
- does not have connections to industry at the level of other TRIPODS proposals_x000D_
_x000D_
- does not articulate a clear vision of an expanded Phase II supported by the Phase I activities_x000D_
_x000D_
_x000D_
_x000D_
In the context of the five review elements, please _x000D_
evaluate the strengths and weaknesses of the proposal with respect to broader impacts._x000D_
_x000D_
Broader impacts include teaching classes and graduate student and_x000D_
postdoctoral training.  The level of such activities is in the bottom one-third of proposals reviewed._x000D_
_x000D_
Please evaluate the strengths and _x000D_
weaknesses of the proposal with respect to any additional solicitation-specific review criteria, if _x000D_
applicable_x000D_
_x000D_
The proposed work is primarily research, not closely integrated with training._x000D_
_x000D_
The plans for developing Phase II capacity are inadequate, primarily_x000D_
consisting of discussions at monthly meetings._x000D_
_x000D_
The evaluation plan is minimal._x000D_
_x000D_
Summary Statement_x000D_
_x000D_
This proposal omits several key components of TRIPODS.  The proposed_x000D_
work, and the combined areas of the proposers, are solidly within_x000D_
the research expectations of TRIPODS, so perhaps the proposed_x000D_
work could be useful to other TRIPODS projects._x000D_
_x000D_
The data management plan and postdoctoral mentoring plan seem adequate_x000D_
but are lacking in detail._x000D_
_x000D_
The proposers should be aware that an 11 page proposal with wide_x000D_
margins and large font is unlikely to contain as much information,_x000D_
or provide as detailed of a plan, as competing proposals which_x000D_
(by making full use of the available space) contain nearly_x000D_
twice as much text.  The proposers are also advised to tailor their_x000D_
proposals more closely to the expectations of the solicitation to_x000D_
which they are applying._x000D_
_x000D_
The proposal would also be easier to read if each paragraph was_x000D_
indented or if there was extra vertical space between paragraphs._x000D_
_x000D_
</t>
  </si>
  <si>
    <t>Big data sets and the need to extract important information from them have recently emerged as a new paradigm across virtually all branches of science. The growth of data sets outpaces existing techniques and technology we use to explore them; novel algorithms and computational techniques are needed to keep pace with this deluge of data. We propose to establish a new Institute for Foundations of Data Science to study these challenges. The new institute will be formed by way of research and training._x000D_
_x000D_
The Institute will focus on fundamental techniques and algorithms for exploring data sets. We will draw on the co-PIs' expertise in algorithms for approximative search in large data sets, likelihood methods for model selection, and mathematics of metric spaces and graphs. To validate theoretical results we have access to diverse data sets, such as biological (via collaboration with the College of Environmental and Life Sciences at URI) and oceanographic data sets (via collaboration with the Graduate School of Oceanography at URI). URI is beginning the process of establishing a Data Science Institute (see Peckham LOC), and we envison, should our proposal be funded, merging with this Institute in the time scale of a Phase II TRIPODS proposal.Many real life data sets are not completely random as they are typically generated by `constrained' processes. Initially, the proposed Institute will focus on the interplay between the inherited hidden geometric and topological structure in data sets and the existence of fast approximative algorithms to extract information for these data sets. The goal is to develop a unifying mathematical and algorithmic framework. The research will build on the diverse expertise of the researchers to explore the efficiency of approximative search algorithms, graph property testing, model selection and likelihood estimates, and structural properties of metric spaces, graphs, networks, and their applications to `constrained' data sets. The fields of mathematics, computer science, and statistics use different vocabulary for very similar concepts. We will take advantage of the expertise present at the institute and explore the different techniques our fields offer for these problems. _x000D_
_x000D_
The co-PIs are well-suited to cover the areas of expertise required for TRIPODS.An important component of the Institute will be training for graduate students as well as for the researchers by offering graduate courses, invited topical lecture series, and workshops. The proposed Institute will take advantage of the complementary activities already supported by the University of Rhode Island. The University recently supported a cluster hire of several faculty in data science, thus establishing a critical community in data science on campus. A group of faculty is currently engaged in establishing a full suite of undergraduate and graduate degrees in data science and analytics. A high performance computing center is also being established on campus. Although the HPC center is independent from the proposed Institute, it will nicely complement our goals by providing needed infrastructure, addressing the applied side of data science much as the proposed Institute addresses the theoretical. The graduate training provided by the Institute will help meet demand by state and regional employers for workers with expertise in data science.</t>
  </si>
  <si>
    <t>1740741</t>
  </si>
  <si>
    <t>Brock</t>
  </si>
  <si>
    <t xml:space="preserve"> Panel Summary       
 Description: This proposal will create TRIPODS institute at Brown University that focuses on the foundations of model-driven discovery. The research activities will be focused on two-semester long programs (where the two semesters are separated by a year) in one of three specific research areas.  In co-ordination with the existing Data Science Initiative at Brown, they  will create a one-year masters program starting Fall 2017, a concurrent masters program for PhD students, and Data Science certificate program for PhD students._x000D_
_x000D_
 _x000D_
Intellectual Merit:_x000D_
_x000D_
Strengths_x000D_
_x000D_
+ The proposal has a very good organizational plan, with an innovative structure of two-semester long programs with the semesters separated by a year.  _x000D_
+ The PIs in statistics and math have a good track record of research covering two of the three research areas (causal and model-based inference, and topological methods for data analysis)._x000D_
+ The institute will be complemented by the strengths of ICERM, and the expertise of running ICERM and Data Science Initiative at Brown._x000D_
+ They will conduct TRIPODS winter schools in the relatively quiet month of January, with specific topics already decided. _x000D_
_x000D_
Weaknesses_x000D_
- The proposal lacked specifics on how they plan to approach the research questions (especially in the causal inference, and graph inference sections)._x000D_
- The theoretical CS component of the proposal was weak (this was mainly restricted to the section on analysis of networks)._x000D_
_x000D_
Broader Impact: _x000D_
_x000D_
Strengths_x000D_
+ The institute will have strong collaborations with industry and applied data science centers and labs at Brown (CSS, CCMB, BIBS etc.) . _x000D_
+ BrownX video modules and whitepapers will be used to reach a wide audience. _x000D_
 _x000D_
TRIPODS-specific criteria: _x000D_
_x000D_
Strengths_x000D_
+ The organization and structure of the institute is well thought-out and involves innovative ideas for structuring interactions and encouraging collaborations between the three disciplines. _x000D_
+  Graduate-student exchanges, datathons._x000D_
_x000D_
Weaknesses_x000D_
- The integration of computer science with math and statistics is weak._x000D_
 _x000D_
Collaboration and Evaluation Plan: Many of the plans for collaboration in the program participants through datathons, boot camps were novel. The PIs have some existing collaborations through ICERM and DCI. They will establish a Phase 1 Advisory Board that will guide the buildup towards Phase 2 of operations. _x000D_
The proposal had the best evaluation plan among all proposals. It includes evaluation by the SageFox Consulting group, which will conduct site-visits. Evaluation plan that includes Annual surveys from participants. There is a mild concern with the two-semester plan in phase 1, that they may be unable to demonstrate that this works before applying for phase 2. _x000D_
_x000D_
_x000D_
Data Management Plan: All the products -- publications, primary data, supplementary data, code, documentation will be available publicly. _x000D_
 _x000D_
Post-doctoral Mentoring Plan: Good. The postdocs will be associated with one of the three research areas, and they will be mentored by a committee of three senior faculty members. There will also be roundtable discussions, grant-writing workshops to mentor the postdocs. _x000D_
 _x000D_
Suggestions to PI: The proposal will benefit strongly with more integration of a CS component that aligns well with the research interests of the other TCS faculty affiliated with the institute. _x000D_
 _x000D_
_x000D_
Justification for Panel Rating: The proposal had a very well thought-out organizational structure for an institute, with innovative programmatic-structures and activities, and had a strong evaluation plan. The main negative was the relatively weak TCS component. _x000D_
_x000D_
 _x000D_
Panel Rating: _x000D_
_x000D_
_ Highly Recommended_x000D_
_x000D_
X Recommended_x000D_
_x000D_
_ Not Recommended_x000D_
_x000D_
 _x000D_
The summary was read by/to the panel and the panel concurred that the summary accurately reflects the panel discussion. 
</t>
  </si>
  <si>
    <t>This project creates an institute at Brown University that brings together the disciplines of mathematics, statistics, and theoretical computer science to define and refine the foundational landscape of the emerging area of data science.  The institute sponsors focused activities organized by small groups of researchers that cut across disciplinary boundaries. It connects with and informs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can even inform findings regarding food stamps and recidivism in Rhode Island. _x000D_
 _x000D_
The mission of the institute is to foster development and principled application of theory and methods of big data to discover, refine, and validate underlying theoretical models that govern a system or data-generating process, which in turn improve predictions of new outcomes.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the institute will emphasize the role of the "investigator-in-the-loop" interrogating the entirety of the data pipeline, seeking theoretical improvements and implications.  It connects to the Brown Data Science Initiative and the Institute for Computational and Experimental Research in Mathematics (ICERM).  Funds for the project come from CISE Computing and Communications Foundations, MPS Division of Mathematical Sciences, Growing Convergent Research, and EPSCoR.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</si>
  <si>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 xml:space="preserve">Foundations of Model Driven Discovery from Massive Data_x000D_
L: 1740741 Brock, Jeffrey Brown University $ 1,482,177_x000D_
P172027 R TRIPODS Panel 1, Recommended (E/V,V,V)_x000D_
_x000D_
Congratulations! I am delighted that your proposal submitted to the Transdisciplinary Research in Principles of Data Science Phase I solicitation has received an award. This will be a three-year standard award in the total amount of $1,482,177.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Foundations of Model Driven Discovery from Massive Data_x000D_
L: 1740741 Brock, Jeffrey Brown University $ 1,482,177_x000D_
P172027 R TRIPODS Panel 1, Recommended (E/V,V,V)_x000D_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other_x000D_
universities "_x000D_
 _x000D_
AWARD CONSIDERATIONS _x000D_
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STANDARD GRANT, _x000D_
Requested duration: 36 months, starting 09/01/2017_x000D_
L: 1740741 Brock, Jeffrey Brown University, total $1,482,177_x000D_
_x000D_
_x000D_
&amp;#8203;&amp;#8203;_x000D_
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</si>
  <si>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Foundations of Model Driven Discovery from Massive Data_x000D_
_x000D_
L: 1740741 Brock, Jeffrey Brown University $ 1,482,177_x000D_
_x000D_
_x000D_
P172027 R TRIPODS Panel 1, Recommended (E/V,V,V)_x000D_
Std competition rank 3 of 30 rated projects: 2 HR, 8 R, 11 NR, 9 NDP, on 5/17/2017_x000D_
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other_x000B_universities "_x000D_
 _x000D_
AWARD CONSIDERATIONS _x000B_EPSCoR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_x000D_
Snoeyink, Jack S._x000D_
Cognizant Program Director  _x000D_
Tuesday, July 11, 2017_x000D_
_x000D_
 _x000D_
_x000D_
STANDARD GRANT, _x000B_Requested duration: 36 months, starting 09/01/2017_x000D_
_x000D_
L: 1740741 Brock, Jeffrey Brown University, total $1,482,177_x000D_
_x000D_
FY17 $300,000     OIA : 01060000   PEC: 8078  AC: 0116  PD: L. Nichols _x000D_
_x000D_
FY17 $441,088     CCF:  05010000   PEC: 041Y  AC: 0117  PD: J. Snoeyink_x000D_
FY17 $441,089     DMS: 03040000   PEC: 041Y  AC: 0117  PD: N. Kannan _x000D_
FY17 $300,000     OIA : 01060100   PEC: 9150  AC: 0117  PD: S. Weiler (EPSCoR)</t>
  </si>
  <si>
    <t>ZB0761578</t>
  </si>
  <si>
    <t>Anitescu</t>
  </si>
  <si>
    <t>anitescu@mcs.anl.gov</t>
  </si>
  <si>
    <t xml:space="preserve">In the context of the five review elements, please _x000D_
evaluate the strengths and weaknesses of the proposal with respect to intellectual merit._x000D_
_x000D_
+ the proposal builds on existing data science initiative at that institution that has created a few tangible outcomes that have the nature to motivate people to acquire more skills. I'm thinking here of the "concurrent masters" and data science certifications for PhD students. These are excellent ideas to motivate PhD students to make the extra step required to acquire skills slightly outside their area._x000D_
_x000D_
+ similarly, ICERM is a very visible entity that can serve as an accelerator for the proposed research snd with clear plans on how to do so._x000D_
_x000D_
+ the structure of the activities its very ingenious and, indeed, it is probably the best adapted for a broadly themed activity that may have a potential extension. The idea is to have several themes that each occupy fully the Project at any given time that are repeated after 18 months in the spring and fall semesters only. This allows topics to be started, to be digested in the periods when they are not active, and then to be brought to fruition in the second round. Winter is dedicated to schools that will further disseminate the acquired knowledge and create an environment for further discussion._x000D_
_x000D_
+ The challenges and benefits of the causal and model based inference articulated in section 3.2.1 are very well described. We do not see a lot of detail about how these challenges would be addressed good topic appears credible._x000D_
_x000D_
- For the topic 'graphs network and inference' I'm not sure I understand why the Monte Carlo approximation is any better than an efficient way to solve Laplace's equation (by a multi-grid kind of algorithm) unless one talks about significantly subsampling the graph itself and maybe that is the idea._x000D_
_x000D_
- For the "multi-fidelity data" direction, I failed to see the innovation or the challenge other than the general one of sampling the posterior._x000D_
_x000D_
- in the same subtopic, how to deal with the local discontinuities is very vague._x000D_
_x000D_
+ I appreciate that in their "geometrical and topological methods" direction the investigators have identified the issue of similarity metric as an important and challenging one_x000D_
_x000D_
+ The topic of "interacting with persistence diagrams" is a bit empirical but given the mix of challenges and applications it is a really well-chosen one as well as one that genuinely calls for a mix of techniques from applied mathematics, computer science, and statistics._x000D_
_x000D_
+ Even if not with as many details as one would like, the ideas in the third direction appear well-thought-out and credible, my favorite one being the combinatorial models for distance between plane curves._x000D_
_x000D_
+ Some of the investigators are world renowned leaders in their fields_x000D_
_x000D_
_x000D_
In the context of the five review elements, please _x000D_
evaluate the strengths and weaknesses of the proposal with respect to broader impacts._x000D_
_x000D_
+ running winter schools in the "quiet" semesters is a really good idea._x000D_
_x000D_
- I'm a bit surprised at the schedule of the winter schools.  I would have expected it to start with the first topic, "causal inference" which is instead the last one to take place in 2020. I'm not sure I see the logic._x000D_
_x000D_
+ The student "lab rotations" are a great idea to engender information exchange from students from one area from the other two._x000D_
_x000D_
+ The "datathons" are very good ideas of dissemination and motivation of the trainees._x000D_
_x000D_
+ The proposal has a specific diversity and inclusion plan building on the ones from the programs to which it connects._x000D_
_x000D_
_x000D_
Please evaluate the strengths and _x000D_
weaknesses of the proposal with respect to any additional solicitation-specific review criteria, if _x000D_
applicable_x000D_
_x000D_
-Other than the second topic, the integration of computer science is not very strong. _x000D_
_x000D_
+ there is some connection to industry that is mentioned but perhaps more credibly there is a detailed plan for the "interacting with persistence diagrams" topic on how to interact with an industrial collaborator._x000D_
_x000D_
+ The proposal will have a internal oversight board that is provided by the data science initiative. That is a practical and credible solution_x000D_
_x000D_
+ the investigators will use a professional consulting team to evaluate the program not by metrics but by answering questions by the team of reviewers._x000D_
_x000D_
+ the proposal on how to measure collaboration is ingenious and feasible_x000D_
_x000D_
_x000D_
Summary Statement_x000D_
_x000D_
This is a strong proposal with compelling areas, and an exceptionally innovative structure of the research activity as well as ideas on how to foster a good execution. It has excellent investigators. It builds on existing efforts of the home institution but it pushes things in a completely new direction. The technical details are sketchy and the computer science link is weak overall but it is strong in at least one topic. The educational activities are innovative and substantial, but other than the interaction with one industrial partner the broader impact is a bit generic. There are some unresolved operational questions._x000D_
_x000D_
</t>
  </si>
  <si>
    <t xml:space="preserve">In the context of the five review elements, please _x000D_
evaluate the strengths and weaknesses of the proposal with respect to intellectual merit._x000D_
_x000D_
The proposal concerns the creation of a new institute, with the_x000D_
novel structure of two-semester activities on specific research_x000D_
questions in the TRIPODS areas, where those two semesters are_x000D_
separated by one year.  (For example, F '17 and Sp '19.)_x000D_
Three specific projects are described, which collectively would_x000D_
cover the three years of requested funding.  Those topics_x000D_
(involving various types of inference, and geometric/topological_x000D_
methods) are solidly withing the TRIPODS scope._x000D_
_x000D_
The proposal describes the interaction and synergy among the PIs_x000D_
(who represent the three TRIPODS areas of math, stat, and CS),_x000D_
but it could have been more clear in its description of how new_x000D_
people would become part of that interaction, and how the planned_x000D_
Phase I activities might inform the methods used to form groups_x000D_
in Phase II (which conceivably could contain a completely new_x000D_
group of people)._x000D_
_x000D_
In the context of the five review elements, please _x000D_
evaluate the strengths and weaknesses of the proposal with respect to broader impacts._x000D_
_x000D_
Several novel activities will provide training to a wide variety_x000D_
of people.  Activities include: "winter school" each January,_x000D_
"boot camps" for students and faculty, and "Datathons" in which_x000D_
groups of students have one day to analyze a particular data_x000D_
sets. (That last activity was vaguely described, with workshops_x000D_
for participants, but it was unclear the relationship between the_x000D_
Datathon and the workshop.)_x000D_
_x000D_
Please evaluate the strengths and _x000D_
weaknesses of the proposal with respect to any additional solicitation-specific review criteria, if _x000D_
applicable_x000D_
_x000D_
Among the proposals I evaluated, this proposal gave the most clear_x000D_
and concrete description of the proposers' vision for Phase II,_x000D_
and furthermore the alignment of Phase II with the goals of TRIPODS_x000D_
was closer in this proposal than in the others evaluated._x000D_
_x000D_
As described in the proposal, interaction with domain sciences_x000D_
and industry is weak.  However, it appear that connections exist_x000D_
with industrial partners, and with some effort this shortcoming_x000D_
could be addressed._x000D_
_x000D_
The evaluation plan is thoughtful but could be improved.  One_x000D_
issue is the plan for annual surveys.  Annual surveys are reasonable_x000D_
for summative evaluation, but in that case it is important that_x000D_
the surveys are anonymous (a point which did not seem to be_x000D_
addressed.) Surveys with specific identifying information are of_x000D_
limited use because there is an inherent bias to not provide_x000D_
negative comments.  In addition, surveys at many institutes are_x000D_
blatant paraphrases of:  tell us good things about your experience,_x000D_
so that we can use that information to seek additional funding._x000D_
_x000D_
Both the survey itself, and the protocol for delivering it, should_x000D_
be carefully examined to eradicate any indication that the main_x000D_
purpose of the survey is to solicit positive feedback._x000D_
("Protocol" means things like the precise sentences spoken by_x000D_
the person administering the survey.)_x000D_
_x000D_
the above comments refer to summative evaluation, but in the creation_x000D_
of a new type of institution, formative evaluation is even more_x000D_
important.  It is clear that the PIs understand the issues, based on_x000D_
the list of 6 items in the Evaluation plan.  However, there is_x000D_
a disconnect between those questions and the mechanisms used to_x000D_
answer those questions.  The proposal would be improved if the_x000D_
data collection and analysis method were described explicitly,_x000D_
instead of making vague references to a not yet existent logic model._x000D_
_x000D_
_x000D_
Summary Statement_x000D_
_x000D_
This is a strong proposal which described the creation of an_x000D_
Institute which is within the parameters of the TRIPODS program._x000D_
_x000D_
The postdoctoral mentoring and data management plans are adequate._x000D_
_x000D_
</t>
  </si>
  <si>
    <t>EP0980554</t>
  </si>
  <si>
    <t>Vijayaraghavan</t>
  </si>
  <si>
    <t>aravindv@eecs.northwestern.edu</t>
  </si>
  <si>
    <t xml:space="preserve">In the context of the five review elements, please _x000D_
evaluate the strengths and weaknesses of the proposal with respect to intellectual merit._x000D_
_x000D_
+ The proposal from Brown has the theme of understanding the foundations of model-driven discovery from data. They in fact have a clear mission statement as well. _x000D_
_x000D_
+ This is a well thought out proposal, with a clear plan for the center/institute with focused activities/ programs each organized by a cross-disciplinary group of researchers (each for 2 semesters). Some of these topics include causal and model-based inference, data analysis on massive networks, geometric/ topological methods for data analysis/ visualization etc. _x000D_
_x000D_
+ The proposal allots funding for TRIPODS postdocs whose interests align with the programs at that point, and there is a clear post-doc training plan in the proposal. _x000D_
_x000D_
+ They have a lot of prior expertise running ICERM and already have a Data Science Inititiative. This center will also share some of the plans with DSI (data science curriculum) and ICERM (workshops). _x000D_
_x000D_
- Brown already has ICERM and DSI, and it is not clear if the marginal impact of TRIPODS will be as much as in other universities._x000D_
_x000D_
- The proposal does not have concrete directions and approaches to tackle these questions. _x000D_
_x000D_
- There is a large literature in ML (in both the Statistics and CS communities) on inference in probabilistic graphical models. They do not refer to any of this work, and do not talk about any algorithmic considerations involved in such inference problems. _x000D_
_x000D_
- The algorithmic component of the proposal seems to be fairly weak. In fact none of the primary concerns/ programs outlined in the proposal address computational challenges associated with these tasks. Even in the context of graphs, networks and inference, there was little connection made to related topics in the TCS community. _x000D_
_x000D_
_x000D_
_x000D_
In the context of the five review elements, please _x000D_
evaluate the strengths and weaknesses of the proposal with respect to broader impacts._x000D_
_x000D_
The proposal does seem very transdisciplinary, particularly between mathematics and statistics. They also have access to large data sets through concrete connections to industry and public policy researchers. _x000D_
_x000D_
The plan to incorporate material from the programs and curricula into BrownX video modules (like EdX)._x000D_
_x000D_
Please evaluate the strengths and _x000D_
weaknesses of the proposal with respect to any additional solicitation-specific review criteria, if _x000D_
applicable_x000D_
_x000D_
+ The PIs have complementary skills particularly in mathematics and statistics, with very strong track records in their respective fields._x000D_
_x000D_
+ The proposal outlines clear plans for how the institute will scale up to a larger center during Phase 2 of operations.   _x000D_
_x000D_
+ The proposal gives a clear collaboration plan and evaluation plan. _x000D_
_x000D_
- Many of the principal directions outlined here do not have a significant algorithmic component. Even in the context of graphs, networks and inference, the TCS connections were fairly tenuous._x000D_
_x000D_
- - Of the 5 primary PIs, only one of them is from CS (Eli Upfal). While PI Upfal is well-known in the TCS community, much of his recent work seems to be focused on computational biology, and less on foundational algorithms research. While Paul Valiant and Phillip Klein (who have excellent track records in related areas) are listed as associated faculty, I think the proposal would be much stronger by working some of their interests into the proposal._x000D_
_x000D_
Summary Statement_x000D_
_x000D_
This proposal is well thought out, with a clear plan to scale up to Phase 2 of operations. The main negative of the proposal is that it seems weak on the algorithmic side, and lacks concrete directions and approaches. It will benefit from a stronger TCS component._x000D_
_x000D_
</t>
  </si>
  <si>
    <t>The need for transdisciplinary work across the disciplines of Mathematics, Statistics, and Theoretical Computer Science to define and refine the foundational landscape of the emerging area of data science has become increasingly prominent and the subject of serious investigation. Collaboration across disciplinary boundaries can be challenging, due to norms and practice, and also due to different fundamental goals that drive working styles and collaborative habits. An Institute centered around the idea of Transdisciplinary Research in the Principles of Data Science provides a much needed context and space for communication about a range of questions both in the specific research objectives and the larger educational framework around this emerging area. By sponsoring focused activities organized by small groups of researchers that cut across disciplinary boundaries, Brown's TRIPODS Institute will provide a motivating set of objectives that will serve as pilot projects and a test-bed for the kind of methods development and theoretical investigation that will allow a new discipline to emerge.The wide array of participating faculty, centers, institutes, laboratories and industrial partners that have agreed to collaborate in the activities set out in our proposal emphasize the heterogeneity of even the theoretical disciplinary landscape, but this range of players is drawn from a high impact pool of faculty, with strong scientific tools at hand, and a range of synergistic questions that naturally lie at a disciplinary intersection. The new Data Science Initiative at Brown, which takes as its mission a similar and synergistic emphasis on foundational methodologies in data science, will serve as an ideal academic foundation for the institute, and, together with ICERM, will support its activities. Our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our institute will emphasize the role of the "investigator-in-the-loop" interrogating the entirety of the data pipeline, seeking theoretical improvements and implications.The broader impact of Brown's TRIPODS Institute will be principally its role in forming a common language for theoretical investigation in the broad area of data science. By situating itself within the Data Science Initiative and connecting with ICERM, our TRIPODS Institute will connect with and inform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even reinforce findings regarding food stamps and recidivism in Rhode Island. The Data Science Initiative's, DSI Lectures and Colloquiua, Industry Partnerships, and capstone projects for students serve as valuable portals for research to industry and the broader community, and the course on Data and Society foregrounds the need for explainable data science, and ethical use of information. Our dissemination plans involving whitepapers and BrownX video modules will reach a wide audience and emphasize the need for such transdisciplinary foundational activities.</t>
  </si>
  <si>
    <t>EPSCoR Co-funding response CISE 17-4, 6/15/2017</t>
  </si>
  <si>
    <t xml:space="preserve">Jack:_x000D_
_x000D_
The analysis of your request to EPSCoR for co-funding of proposal CCF 1740741, submitted by Jeffrey Brock from Brown University, indicates that it is consistent with EPSCoR FY17 co-funding program guidelines.  _x000D_
_x000D_
The project focuses on creating a mini-institute in the New England region for data science including research, education and outreach. Characteristics of this proposal that align with EPSCoR co-funding guidelines include: collaboration within and across jurisdictions; and research and training opportunities for students, post-docs and early career faculty.  _x000D_
_x000D_
Therefore, EPSCoR is willing to contribute $300,000 in FY 2017 to the implementation of this project.  Below are the funding codes for EPSCoR:_x000D_
_x000D_
Organization: 01060100 _x000D_
Program Element: 9150_x000D_
Appropriation: 0117_x000D_
All applicable Program Reference Codes (especially, CAREER, MRI, REU site, RUI, etc., as applicable) should show on the EPSCoR co-funding budget line as well. _x000D_
_x000D_
Please place a copy of this message as a Diary Note in eJacket.  Please also make sure the EPSCoR co-fund request memorandum and the Panel review (or Program) ranking chart are also in the Diary Notes section of the e-Jacket before processing your recommendation on this proposal. Please forward the eJacket to Susan Weiler (please click on the search option (magnifying glass) and choose LAN ID: sweiler) for co-funding sign-off.  All EPSCoR co-funding recommendations need to be DD concurred in eJacket no later than Friday, July 14, 2017. _x000D_
_x000D_
Thank you for considering EPSCoR as a partner in this activity._x000D_
_x000D_
Important Notes: _x000D_
(1) Please contact me if there are any changes to the proposal?s budget after this email communication. In cases where the total award budget gets reduced after receipt of this memo, a new memo showing the revised EPSCoR co-funding amount will be needed before processing the award recommendation.  _x000D_
_x000D_
(2) EPSCoR funds need to be expended at EPSCoR institutions only. It is the responsibility of the managing Program Officer to inform the PI of the EPSCoR co-funding on the award and the condition to spend the co-funded amount at an EPSCoR institution._x000D_
_x000D_
Susan Weiler_x000D_
Program Director_x000D_
NSF EPSCoR_x000D_
703-292-7860_x000D_
_x000D_
</t>
  </si>
  <si>
    <t>1740748</t>
  </si>
  <si>
    <t>Edelman</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</si>
  <si>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Center for Scalable Data Analysis_x000D_
_x000D_
L: 1740748 Edelman, Alan MIT $  600,000_x000D_
N: 1740642 Quackenbush, John Dana-Farber Cancer Inst $  450,000_x000D_
N: 1740744 Gelman, Andrew Columbia University $  438,059_x000D_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</si>
  <si>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The contributions in launching free software of this group is second to none. Stan and Julia are items of huge impact in their areas. _x000D_
_x000D_
+Scalability is rightly identified as a central technological challenge. _x000D_
_x000D_
+ 2.1: Multiple dispatch is a huge functional facility to have_x000D_
_x000D_
-It is a bit unclear what are specific constructs to be investigated, and how they are particular to data analysis and not otherwise generic. _x000D_
_x000D_
+ scalable autodifferentiation would be an important benefit to a large user community when used with Bayesian inference. _x000D_
_x000D_
-we do not see descriptions of particular research thrusts in this area (2.2)_x000D_
_x000D_
-2.3 Theme 1 for this audience, it is hard to fathom what is precisely meant by normalization here. _x000D_
_x000D_
+ 2.3 T2: sensitivity of network inference is a most important topic_x000D_
_x000D_
-2.3 T2: the computational efficient linear algebra is a worthy goal, but there is no description as to what it consists of. _x000D_
_x000D_
2.3 T3 and T4: similar concerns, it is impossible to evaluate the value of the solution, when the problem is barely described. _x000D_
_x000D_
+2.4 Investigation of a polystore solution is a very important endeavor, given the mixed existing software pipelines_x000D_
_x000D_
+ 2.4: The islands of information are an interesting philosophy for multiple language support. _x000D_
_x000D_
+ 2.5: I commend the authors for describing risks and mitigations, very important issues in such a development heavy enterprise. _x000D_
_x000D_
-3.1.1 We see features here but not metrics. _x000D_
_x000D_
-3.1.2 Before description of the stage it would have been helpful to see a description of the method. Similar comments for 3.1.3 and 3.1.4. _x000D_
_x000D_
+ Project schedule is clear and achievable. _x000D_
_x000D_
+ the PIs include individuals that are worldwide leaders in their areas. _x000D_
_x000D_
_x000D_
In the context of the five review elements, please _x000D_
evaluate the strengths and weaknesses of the proposal with respect to broader impacts._x000D_
_x000D_
+ annual workshops are useful, particularly given the experience of the authors to run or participate in such visibile events. _x000D_
_x000D_
+ the software has indeed the potential to impact thousands of other researchers and countless research and development and commercial users, as it will bring interesting features from a very visible software tools group_x000D_
_x000D_
-we do not see an aim for curriculum changing or inspiring features for young trainees; it appears the work is very development heavy._x000D_
_x000D_
+ genomics/systems biology is a great target application area for a 'messy pipeline' tool-chain.  _x000D_
_x000D_
_x000D_
Please evaluate the strengths and _x000D_
weaknesses of the proposal with respect to any additional solicitation-specific review criteria, if _x000D_
applicable_x000D_
_x000D_
+ this is the most convincing proposal concerning the computer science contributions I have read. _x000D_
-on the other hand, mathematical and statistical challenges are barely articulated. _x000D_
_x000D_
+ the software dissemination with broad potential user base is a unique feature of this proposal. _x000D_
_x000D_
-no special discussion is made of involvement of industry, for which this proposal otherwise had a huge potential. _x000D_
_x000D_
-the outreach insofar knowledge and information is mostly absent, which again is a missed opportunity. _x000D_
_x000D_
_x000D_
Summary Statement_x000D_
_x000D_
The proposal contains some of the most visible PIs in statistics and computational science in the world, individuals with proven past impact for thousands of other researchers. The computer science focus is strong. The system biology focus is a great one for heterogeneous pipelines and data for which such solutions would be strong competitors. On the other hand, it reads like a development plan, rather than a research proposal. We have no details of conceptual math or stats challenges. The educational impact description does not appear to be substantial, and we do not see where will be the exciting opportunities for trainees to acquire data science enthusiasm and skills. The plans for intergrations and metrics are sketchy. _x000D_
_x000D_
_x000D_
</t>
  </si>
  <si>
    <t xml:space="preserve">In the context of the five review elements, please _x000D_
evaluate the strengths and weaknesses of the proposal with respect to intellectual merit._x000D_
_x000D_
The PIs in this proposal plan to build an institute whose focus will be to create software that will enable curating and organizing collected data from different sources and then providing a platform that can perform analysis on them with scalability. The focus is on developing systems oriented tools such as database managers, efficient compilers and high performance computing platforms catering specifically to data science. The goal is to develop prototypes that are tested on applications in computational biology and to expand further with other applications._x000D_
_x000D_
The team members hail from computer science, mathematics, statistics, and biology spanning several reputable institutes. They have developed tools for data processing, compilers in the past upon which they can build the proposed project. From this perspective, the team is in a good position to carry out the proposed work._x000D_
_x000D_
The main issue with the proposed line of work is that it does not address the theoretical foundation of data science as solicited in the call for proposal. The proposal is mostly about developing systems level software. But, the call for proposal distinctly says that this funding seeks for building institutes that will focus on addressing the foundational questions related to data science in computer science, mathematics, and statistics. I did not feel that this proposal addresses these issues._x000D_
_x000D_
In the context of the five review elements, please _x000D_
evaluate the strengths and weaknesses of the proposal with respect to broader impacts._x000D_
_x000D_
The proposal talks about organizing workshops annually mainly focusing on high performance computing in data science. It proposes to connect to other Phase I institutes in this regard._x000D_
_x000D_
The PIs argue that the development of various software tools will have an impact on various disciplines because the issues with data storage and computation with scalability exist across the entire field of data science. The proposal mentions about promoting women participation in the project by leveraging various existing efforts in the participating universities._x000D_
_x000D_
Please evaluate the strengths and _x000D_
weaknesses of the proposal with respect to any additional solicitation-specific review criteria, if _x000D_
applicable_x000D_
_x000D_
The proposal mentions the following solicitation-specific plans:_x000D_
(i) For education and outreach, it plans to organize an annual workshop to be colocated with some conference on high performance extreme computing. It proposes to conduct tutorials for users of the software and tools developed by the project. There is no specific mention of curriculum development._x000D_
(ii) It has a well laid out plan for data collection, software development, and evaluation. It proposes to disseminate software and data through online repositories._x000D_
(iii) It has a postdoctoral management plan._x000D_
(iv) The team plans to collaborate among themselves and other phase I institutes, on creating data hubs, software developments, and meeting various user needs on their platforms._x000D_
(v) It talks about extending the project to Phase II phase, but nothing very specific._x000D_
_x000D_
Summary Statement_x000D_
_x000D_
This is a proposal that addresses the systems oriented issues in data science. It does not address problems related to core theoretical foundations of data science. This is why I cannot rate it highly for funding._x000D_
_x000D_
</t>
  </si>
  <si>
    <t xml:space="preserve">In the context of the five review elements, please _x000D_
evaluate the strengths and weaknesses of the proposal with respect to intellectual merit._x000D_
_x000D_
+ the proposal has an interesting, general and I'mportant research theme: addressing scalability of big, complex and diverse data sets._x000D_
_x000D_
-Key weakness: lacking of substance and strategy for the research plan especially on how to develop the DataTheoryDispatcher. lack a clear vision/path for the theoretical foundation._x000D_
_x000D_
In the context of the five review elements, please _x000D_
evaluate the strengths and weaknesses of the proposal with respect to broader impacts._x000D_
_x000D_
+The proposed center consists a team of researchers from several universities which can have potentially wide impact_x000D_
_x000D_
+propose to develop software system which can far-reaching impacting given that the team (or some members of it) have already had experience develop systems like Stan._x000D_
_x000D_
- Not clear how the new system is going to have substantial new contribution given the lack of clear plan on the first stage of the research._x000D_
_x000D_
Please evaluate the strengths and _x000D_
weaknesses of the proposal with respect to any additional solicitation-specific review criteria, if _x000D_
applicable_x000D_
_x000D_
_x000D_
_x000D_
Summary Statement_x000D_
_x000D_
This proposal proposes a center for scale data analysis with research team consisting of researchers from MIT (math, computer science), Harvard (biostatistics and public health) and Columbia (statistics). The main research goals are to develop user-interface software systems that can address foundational issues needed for big and complex data analysis . The first stage aims to develop a novel system called 'DataTheoryDispatcher' that can discover foundational math, stat CS approaches for various data problems. The second stages focus on developing algorithms necessary for using the DataTheoryDispatcher, the third and fourth stages are dedicated to the validation of these software and tools using data from system biology and etc._x000D_
Although such a platform upon successful can be of tremendous impact to the data science community, the PIs have not provided a clear path on the feasibility of developing the DataTheoryDispatcher system, nor on how to develop such a system. They hope to have a system that can fit various needs (dispatching foundational theory) of the users depending on the input data type of complexity and provide some sort on interface.  It is however unclear how the PIs are going to achieve such a goal.  Therefore, the proposal lacks a clear vision on the foundational issues. Other strengths/weaknesses are outlined below. _x000D_
_x000D_
Strengths:_x000D_
+The team consists of highly qualified researchers._x000D_
+The PIs have previous experience developing software systems that are wildly used by the community such as Stan and Julia._x000D_
+have a clear validation plan using data from system biology which is an apparently very important and popular domain nowadays _x000D_
_x000D_
_x000D_
weaknesses:_x000D_
_x000D_
-Lack of concrete plans for developing the DataTheoryDispatcher system.  Fail to describe how to dispatch the foundational theory given the user input of the data. Thus lack of a clear vision of the foundational  development. _x000D_
-although the proposal proposed a center for scalable data analysis, it is unclear on the issue of scalability issue is addressed. There is a need for a clear description of the challenges, concrete research problems, models/algorithms for address the stability of the data. _x000D_
_x000D_
-a somewhat weak education plan, no students or postdocs are involved (only techniques are requested for developing softwares)._x000D_
_x000D_
-Not sufficient novelty.  The algorithms they propose during their second stage have already been or are being extensively studied._x000D_
_x000D_
</t>
  </si>
  <si>
    <t>Today most subject disciplines are struggling to identify and implement the best data science methods capable of meeting the challenges presented with the availability of large, complex and diverse data sets.  As the data sets get ever larger, more complex and diverse, demand for more comprehensive scalable data analysis becomes ever more challenging to implement.   This is made more difficult because the data itself is often of inconsistent quality in terms of being well ordered and complete and scalable.  In the end, this is an often an underestimated or overlooked foundational problem in data science.  The enormity of this problem is further documented when it is noted that data professionals often spend 50 to 80 percent of their time addressing these data preparation and data scaling challenges.  It is critical that this foundational challenge centered on the  quality  and  scalability  of  data  be  addressed  to  assure  that  the  data  utilized  will  provide accurate model building and data analysis for users across many subject domains.Our collaboration is proposing that a Phase I Institute be established to address the foundational data science challenge of quality and scalability of data.  Addressing these challenges is a critical path item that must be addressed prior to the users? attempts at model building and data analysis. The Institute program will leverage the collaboration?s leading work on algorithms, programming languages,  signal  processing,  statistics,  databases,  and  parallel  programming.   This  team  is recognized to have deep expertise in algorithms, statistics, data representations and development of  powerful  software  systems  such  as  Stan  and  Julia  that  have  already  been  successfully deployed with third party applications.  Using this experience as a basis, this project will develop new ideas and prototype software systems and tool chains focused on addressing the challenges with data and scalable analysis issues.  These prototype software and tool chains will be tested using active research projects in life sciences and other Statistics research areas.Progress in data science requires that users have a fundamental capability to collect, prepare and perform scalable data analysis using software and tool chains that are straightforward to use and can be applied across a spectrum of subject domains and applications. If model builders and analysts  are  to  successfully  deliver  knowledge  and  insights into data sets, it is critical that foundational data science challenges for handling data be successfully addressed. Without a priority to develop the software and tool chains to meet these data challenges, the quality of the knowledge and insights derived from building models may be less than optimal._x000D_
The Phase I Institute will deliver capabilities that will allow researchers across a broad range of fields to communicate data-analytic ideas more precisely and have access to tool chains that can straightforwardly implement them.  This work will have broad impact for scientists, engineers, and policy analysts to process and model their data directly, be able to do scalable data analysis, fit a larger class of models to bigger datasets, and thus enable inferences that will be more relevant to applications. The Institute will also continue and enhance existing outreach efforts to other universities and industrial partners already participating individually with the PIs in this type of work. The Institute has a strong dedication to disseminating  the  software, tool chains and educational knowledge and insights gained from this Phase I work and preparing for production level implementations in a Phase II program.  This Institute will actively outreach and engage with the data science community, the other Phase I Institutes, the NSF Big Data Regional Innovation Hubs,  Mathematical  Sciences  Research  Institutes, and Software Infrastructure  for Sustained Innovation to collegially address pressing data science challenges.</t>
  </si>
  <si>
    <t>1740751</t>
  </si>
  <si>
    <t>Indyk</t>
  </si>
  <si>
    <t>8</t>
  </si>
  <si>
    <t xml:space="preserve"> Panel Summary       
 Description:_x000D_
Five high-quality semester-long programs are proposed,_x000D_
all of which are suitable for TRIPODS:_x000D_
  1) Statistical and computational tradeoff_x000D_
  2) Sublinear time algorithms_x000D_
  3) Learning under complex structure_x000D_
  4) Graphical models_x000D_
  5) Non-convex optimization and deep learning._x000D_
The team of accomplished researchers covers the three areas_x000D_
of TRIPODS.  The educational/training aspects are modest,_x000D_
as are the center-like activities._x000D_
_x000D_
Intellectual Merit: _x000D_
Strengths_x000D_
+ The 5 semester topics are all key problems for the foundations of data science._x000D_
+ The roles of math, stat, and CS are clearly described for each problem._x000D_
Weaknesses_x000D_
- The involvement of industry and domain science is minimal._x000D_
- The panel had some disagreement as to how innovative the research was._x000D_
- The projects involve each proposer working in their_x000D_
individual specialty, limiting the synergistic aspects of_x000D_
the work._x000D_
_x000D_
Broader Impact:_x000D_
Strengths_x000D_
+ The "office hours" will be of some benefit to local practitioners_x000D_
and students, but is unlikely to scale to benefit the wider community._x000D_
Weaknesses_x000D_
- The educational/training aspects were weaker than other proposals,_x000D_
as was the dissemination._x000D_
_x000D_
TRIPODS-specific criteria:_x000D_
Strengths_x000D_
+ The themes of the projects are foundational and suitable for TRIPODS._x000D_
Weaknesses_x000D_
-  The measures of success, for the Institute-like activities, are weak._x000D_
-  Plans for Phase II activities are not well developed,_x000D_
-  Interaction with Industry and domain sciences are weaker than other_x000D_
proposals._x000D_
_x000D_
Collaboration and Evaluation Plan:_x000D_
The Collaboration and Evaluation Plan is weak.  There is very little_x000D_
in terms of evaluating the separate activities.  For those items_x000D_
which are proposed to be measured, the proposal lacks detail about_x000D_
those measurements will be taken, and more significantly, does_x000D_
not state what would be considered to be a "success"._x000D_
_x000D_
_x000D_
Data Management Plan:_x000D_
The Data Management Plan is weak, providing few details._x000D_
_x000D_
Post-doctoral Mentoring Plan:_x000D_
The Post-doctoral Mentoring Plan is weak, failing to provide details of_x000D_
what precise activities will take place and who would oversee those activities._x000D_
_x000D_
Suggestions to PI:_x000D_
The purpose of the Post-doctoral Mentoring Plan and Data Management Plan are_x000D_
to explain to the reviewers the activities which will occur.  Only once those_x000D_
details are provided can the panel make a judgement as to whether those_x000D_
activities are likely to be effective.  Without any details, it is natural_x000D_
for the reviewer to conclude that the proposers did not take those_x000D_
requirements seriously._x000D_
_x000D_
Justification for Panel Rating:_x000D_
The strength of the research component overcame the panel's concerns about_x000D_
the weaknesses in the Institute-like aspects and Broader impacts of_x000D_
the proposal._x000D_
_x000D_
Panel Rating:_x000D_
_ Highly Recommended_x000D_
X Recommended_x000D_
_ Not Recommended_x000D_
_x000D_
The summary was read by/to the panel and the panel concurred that the summary accurately reflects the panel discussion._x000D_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</si>
  <si>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 To facilitate the interactions between the participants, the project will support two project postdocs, who will play the role of connectors between different disciplines.</t>
  </si>
  <si>
    <t>Proposal ID: CCF 1740751_x000D_
PI: Indyk, Piotr_x000D_
Co-PIs: Jonathan Kelner, Philippe Rigollet, Ronitt Rubinfeld, Devavrat Shah_x000D_
Institution:  Massachusetts Institute of Technology  _x000D_
Title:  TRIPODS: Institute for Foundations of Data Science (IFDS)_x000D_
_x000D_
Dear Professors Indyk, Kelner, Rigollet, Rubinfeld, and Shah,_x000D_
_x000D_
Congratulations! I am delighted that your proposal submitted to the Transdisciplinary Research in Principles of Data Science Phase I solicitation has received an award. This will be a three-year continuing award in the total amount of $1,368,500.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_x000D_
Following in-depth discussion, the panel was asked to place each project into one of three categories (1) Highly Recommended, (2) Recommended, and (3) Not Recommended._x000D_
_x000D_
Panel Ranking: _x000D_
_x000D_
The review ratings of the proposal are:  E/G, V, V/G.  This proposal was placed in the Recommended category;_x000D_
_x000D_
Post Panel Review:  _x000D_
_x000D_
After the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t>
  </si>
  <si>
    <t>Proposal ID: CCF 1740751_x000D_
PI: Indyk, Piotr_x000D_
Co-PIs: Jonathan Kelner, Philippe Rigollet, Ronitt Rubinfeld, Devavrat Shah_x000D_
Institution:  Massachusetts Institute of Technology  _x000D_
Title:  TRIPODS: Institute for Foundations of Data Science (IFDS)_x000D_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E/G, V, V/G.  This proposal was one of eight placed in the Recommended category and was ranked eighth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  The funding is distributed as follows:_x000D_
_x000D_
FY 2017_x000D_
_x000D_
CCF      Org Code 05010000  PEC 041Y  $184,250_x000D_
DMS      Org Code 03040000  PEC 041Y  $184,250_x000D_
_x000D_
FY 2018_x000D_
_x000D_
CCF      Org Code 05010000  PEC 041Y  $250,000_x000D_
DMS      Org Code 03040000  PEC 041Y  $250,000_x000D_
_x000D_
FY 2019_x000D_
_x000D_
CCF      Org Code 05010000  PEC 041Y  $250,000_x000D_
DMS      Org Code 03040000  PEC 041Y  $250,000_x000D_
_x000D_
_x000D_
PRCs: _x000D_
_x000D_
047Z TRIPODS Phase 1_x000D_
062Z Harnessing the Data Revolution_x000D_
_x000D_
Tracy Kimbrel, Program Officer_x000D_
Division of Computing and Communication Foundations_x000D_
July 14,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</si>
  <si>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Five semester-long themes are proposed, each in the combined areas of_x000D_
math, stat, and CS, on topics suitable for TRIPODS.  Activities in_x000D_
those semesters will include as school, a workshop (a more accurate_x000D_
name would be a conference), a seminar with multiple meetings, and_x000D_
special lectures._x000D_
_x000D_
The connection with the three TRIPODS areas are clearly described,_x000D_
and the planned activities indicate that the proposers have thought_x000D_
carefully about the challenges of bringing together diverse research_x000D_
areas._x000D_
_x000D_
A potential weakness is Industry engagement, which could have been_x000D_
described in more detail._x000D_
_x000D_
In the context of the five review elements, please _x000D_
evaluate the strengths and weaknesses of the proposal with respect to broader impacts._x000D_
_x000D_
The broader impacts of this proposal are weaker than other proposals_x000D_
reviewed.  The education aspect is limited to student participation in_x000D_
the research activities.  Knowledge transfer to industry is not_x000D_
well described.  The planned creation of problem lists will be_x000D_
useful to the wider community._x000D_
_x000D_
The idea of "office hours" has some appeal, but is unlikely to scale_x000D_
as the project grows._x000D_
_x000D_
Please evaluate the strengths and _x000D_
weaknesses of the proposal with respect to any additional solicitation-specific review criteria, if _x000D_
applicable_x000D_
_x000D_
As required by TRIPODS, the proposal describes a well-integrated_x000D_
research and training program, with each semester involving a variety_x000D_
of activities that will help to engage students, bring together_x000D_
people from several areas to work together, and enable the disciplines_x000D_
to communicate._x000D_
_x000D_
The evaluation plan is inadequate.  The plans include "gather attendance statistics for the events", which provides limited_x000D_
information and is unlikely to shed light on the process of running_x000D_
an Institute, and "gather information about research developments"._x000D_
For that second item, then acknowledge that it is difficult to_x000D_
obtain such data.  Considering that the proposal does not even state_x000D_
any concrete steps that will taken to gather that data, their_x000D_
expected difficulty is an understatement._x000D_
_x000D_
For summative evaluation they propose to count publications.  That_x000D_
is unlikely to shed any light on the usefulness of the procedures_x000D_
being developed in Phase I._x000D_
_x000D_
Phase II is not well described.  The reviewer is left to speculate_x000D_
that Phase II would be just like Phase I, with a theme for each semester._x000D_
_x000D_
_x000D_
Summary Statement_x000D_
_x000D_
The 5 planned semester activities combine the three TRIPODS areas_x000D_
and address suitable research topics.  Novel activities will help_x000D_
support the interaction of students, researchers in the TRIPODS_x000D_
areas, and other researcher._x000D_
_x000D_
The proposal has merit, but a shortcoming is that the plans for_x000D_
Phase II are unclear._x000D_
_x000D_
The Data Management Plan is inadequate, providing almost no details._x000D_
The postdoctoral mentoring plan is also poor, involving only vague_x000D_
descriptions such as "a program of structured mentoring activities",_x000D_
with no details and no statement about who would administer those_x000D_
activities._x000D_
_x000D_
If funded, the PIs will need to radically re-evaluate what is means_x000D_
to run an institute (i.e., what procedures are put in place to_x000D_
make the Institute function as a new entity that brings a new_x000D_
dimension to the research endeavor), and how they will evaluate_x000D_
whether *the specific procedures being implemented* are actually_x000D_
performing as desired.  Obtaining such information will require_x000D_
examining all activities, and multiple times from multiple_x000D_
directions._x000D_
_x000D_
</t>
  </si>
  <si>
    <t>HP0626211</t>
  </si>
  <si>
    <t>Kannan</t>
  </si>
  <si>
    <t>kannan@cis.upenn.edu</t>
  </si>
  <si>
    <t xml:space="preserve">In the context of the five review elements, please _x000D_
evaluate the strengths and weaknesses of the proposal with respect to intellectual merit._x000D_
_x000D_
Amazing team of accomplished researchers covering the three areas of TRIPODS - TCS, Math, and Stat. The structure of the proposal is to define 5 semester-long programs that bring together the three disciplines on interesting topics such as CS-Stats trade-offs, sublinear algorithms, graphons and exchangeable models, etc._x000D_
_x000D_
This structure seems set up so that each PI can stay within his/her comfort zone. It is not clear how it will help them find some new interdisciplinary ground. _x000D_
_x000D_
In addition, at this phase of the TRIPODS program I would have liked to see more of an effort to get to the basic foundations of data science from 3 points of view. The listed themes seem to be chosen more because they are in the comfort zone of the PIs._x000D_
_x000D_
Having said all that, I find the descriptions of the proposed programs very compelling and I am completely confident that great work will emerge from this_x000D_
team if the project is funded._x000D_
_x000D_
Of all the proposals I read this proposal does the best job of explaining the role of Math, Stat, and TCS in each of the research problems proposed. _x000D_
_x000D_
The proposal described center-like activities ... most notably workshops every semester and an overlay seminar series. In addition there will be post-docs chosen by all PIs._x000D_
_x000D_
There is very good synergy between the 3 communities here, with several pairs of PI having already collaborated together(?)_x000D_
_x000D_
The project seems more focused on problems where there is already common terminology. There isn't much mention of industry engagement, and the problems are not *directly* related to a specific application._x000D_
_x000D_
There is no plan for creating new curricular programs or enhancing the course offerings in this space at MIT. The main educational component is the plan to have Fall and Spring schools._x000D_
_x000D_
The proposal does not touch on issues such as privacy, fairness, or provenance._x000D_
_x000D_
In the context of the five review elements, please _x000D_
evaluate the strengths and weaknesses of the proposal with respect to broader impacts._x000D_
_x000D_
The Broader impacts section is a little pro forma._x000D_
_x000D_
Please evaluate the strengths and _x000D_
weaknesses of the proposal with respect to any additional solicitation-specific review criteria, if _x000D_
applicable_x000D_
_x000D_
There is a well-integrated reesarch program between the three disciplines. Training could be well-integrated depending on the details of the Spring and Fall workshops._x000D_
_x000D_
It is not clear that the proposal addresses the broad themes of TRIPODS program, specifically the need to do theory that is informed by practice. _x000D_
The proposal does not talk about workforce development._x000D_
_x000D_
There is very good synergy between the groups, but I didn't see a compelling, overarching vision for data science._x000D_
_x000D_
Summary Statement_x000D_
_x000D_
Great team with good synergy. Members of the team have already demonstrated the capacity to work in interdisciplinary areas. The problems that will be considered in the programs described seem exciting._x000D_
_x000D_
</t>
  </si>
  <si>
    <t xml:space="preserve">In the context of the five review elements, please _x000D_
evaluate the strengths and weaknesses of the proposal with respect to intellectual merit._x000D_
_x000D_
This proposal aims to establish an interdisciplinary institute for the development of foundations of data science at MIT. In Phase I, it will center around 5 semester-long themes, which include 1) Statistical and computational tradeoff, 2) Sublinear Time Algorithms, Local Algorithms, and Robust Statistics, 3) Learning under complex structure, 4) graphical models, exchangeable models and gryphons, 5) Non-convex optimization and deep learning. The institute will support activities like workshops, spring/fall schools, seminars, outreach, and knowledge transfer, data science curriculum development.   _x000D_
_x000D_
Strengths:_x000D_
_x000D_
1) The proposal has identified five research themes/topics, which are all key problems for the development of a foundation for the field of data science. Each of these themes has clear roles for the participating researchers from the three communities, and requires their coordinated effort.  _x000D_
_x000D_
2) The institute  supports a number of center-like activities, such as workshops, spring/fall schools, overlap seminars, dedicated talks, and curriculum development. This will provide excellent opportunities to train the next generation of data scientists.  _x000D_
_x000D_
3) The proposal clearly addresses how the 3 communities interact with each other in both research, training, and center-like activities. _x000D_
_x000D_
4) The proposal has addressed almost all broad themes, such as developing common terminologies and concepts, application-aware foundational research, industry engagement, unifying curricula, End-to-end provenance, reproducibility, privacy, fairness, and Dynamic aspects of data. _x000D_
_x000D_
Weakness:_x000D_
_x000D_
No obvious weakness has been identified._x000D_
_x000D_
_x000D_
In the context of the five review elements, please _x000D_
evaluate the strengths and weaknesses of the proposal with respect to broader impacts._x000D_
_x000D_
Strengths:_x000D_
_x000D_
The project will foster interdisciplinary research at MIT and the broad research community. _x000D_
_x000D_
It will provide the research and educational opportunities to postdocs and graduate students._x000D_
_x000D_
The developed new methods will be used for analyzing large amounts of data, and thus have a broad impact on our daily life. _x000D_
_x000D_
It will  support knowledge transfer initiatives through office hours and systems._x000D_
_x000D_
Please evaluate the strengths and _x000D_
weaknesses of the proposal with respect to any additional solicitation-specific review criteria, if _x000D_
applicable_x000D_
_x000D_
Strengths: _x000D_
_x000D_
1) The proposal has a well-integrated research and training program devoted to foundations of data science and fostering collaboration and interaction among the three communities.  _x000D_
_x000D_
2) The proposal addressed almost all broad themes in the program description. _x000D_
_x000D_
3) The proposal has adequately addressed the strategies for workforce development, including both educational curriculum development and training activities. _x000D_
_x000D_
4) The project is transdisciplinary and needs coordinated effort from the three communities to overcome the foundational challenges. _x000D_
_x000D_
5) The proposal provided a clear vision for the foundation of data science. _x000D_
_x000D_
6) The PIs of this project all have outstanding track records on research related to the proposed themes and on training activities. Their expertises complement each other and have an excellent coverage on the proposed training and educational activities. _x000D_
_x000D_
7) The proposal has knowledge transfer initiatives which could provide the communication and interaction with the domain sciences and industry._x000D_
_x000D_
8) The proposal has the capacity and potential for a future phase II operations. The proposed five themes are rather broad. _x000D_
_x000D_
_x000D_
9) The collaboration and evaluation plan has clear measures of success, both for Phase I operations and development of capability for a potential Phase II. It also provides a good plan for thoughtful, ongoing assessment of all Institute activities. _x000D_
_x000D_
Weakness:_x000D_
_x000D_
The proposed research is a little too ambiguous. Since the PIs are all outstanding researchers, this may not be an issue. _x000D_
_x000D_
_x000D_
Summary Statement_x000D_
_x000D_
This proposal aims to establish an institute devoted to foundations of data science at MIT. The proposal is well-thought and well-written. It has an extremely strong team with complementary expertise from the three communities. The proposed research themes are fundamental and could have profound impact to the emerging field of data science._x000D_
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</si>
  <si>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we will focus on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science._x000D_
_x000D_
To facilitate the interactions between the participants, the project will fund two project postdocs, to be selected by all participants. The postdocs will play the role of "connectors" between different disciplines. They will be supervised by at least two project members, representing at least two TRIPODS areas. Their research activities will stimulate collaboration between different groups and disciplines.The project will develop new frameworks and techniques for a wide range of questions at the intersection of mathematics, statistics, and theoretical computer science. It will demonstrate both positive (algorithmic) and negative (limitations) results. It will make progress towards establishing a unified perspective on data science.The project will galvanize interdisciplinary research, both at MIT and in the broad research community. It will fund two postdocs and help train graduate students well-versed in multiple perspectives on data analysis. Furthermore, it will develop new methods for processing and analyzing large amounts of data. Given the prominent role of data science in today's society, these developments will likely have a significant and broad impact. Finally, the project will support knowledge transfer initiatives, including "office hours" that will offer free help and consultation on algorithmic, mathematical and statistical aspects of data science.</t>
  </si>
  <si>
    <t>1740752</t>
  </si>
  <si>
    <t>Davison</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</si>
  <si>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Interdisciplinary Data Science_x000D_
_x000D_
L: 1740752 Davison, Brian Lehigh University $ 1,499,915_x000D_
_x000D_
_x000D_
P172027 NDP TRIPODS Panel 1, Not Discussed in Panel (G/F,G/F,F)_x000D_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</si>
  <si>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team teaching is certainly a great idea to achieve integration between their three disciplines._x000D_
_x000D_
- from section 3.3 I'm a bit unclear whether this is possible or it's only an aspiration. On top of page 4 the same appears a lot more tentative than I first thought when I read it._x000D_
_x000D_
+ The investigators make a credible case that this funding will make a difference in affecting culture but their institution which is the moment has the three departments separated in a fairly silo way._x000D_
_x000D_
- However, we are unclear in reading further the proposal as to how that will come about._x000D_
_x000D_
+ Alternate housing of the postdocs in the respective departments is a good idea in achieving transdisciplinarity at least in terms of training._x000D_
_x000D_
- I'm a bit unclear whether obtaining the vectorized version of the words is a topic of investigation or not. To me it appears as the more delicate question compared to the ones mentioned in section 4.3_x000D_
_x000D_
+ the questions outlined in section 4.3 are interesting and important._x000D_
_x000D_
- There is very little idea as to how one would aim about solving such questions. Moreover, we do not see a discussion of whether there are relevant results of the investigators that one can build on._x000D_
_x000D_
- Beginning of section 5: I'm a bit unclear about the use of word "rigidity". It is meant as a precise obstacle then that would definitely not be correct._x000D_
_x000D_
- "semi-parametric models": the discussion appears to be primarily a review about existing methods and some of their shortcomings and perhaps some of their existing features. We do not see from here what is meant to be new in research except again as possible questions rather than directions of investigation e.g. "how do we choose the new density if the choices are in a specific class?"_x000D_
_x000D_
+ Extending differential privacy to hierarchical feature representations is an interesting idea._x000D_
_x000D_
+ Investigating fairness and trustworthiness is a very important topic._x000D_
_x000D_
+ Assessing and working with "diversity of data" concept is an interesting idea_x000D_
_x000D_
- we are a bit unclear as to how the investigators see this technique applied. For example, they state that they want to compute the N points closest to a cluster center which are maximally diverse. How will this information be used in assessing fairness? We sort of see that it is possible but it should be spelled out._x000D_
_x000D_
- Section 7.2.3: we are unclear as to how this abstraction reflects the problem outlined before of trustworthiness. What would be the mapping between messages and variables or actions? The described game approach is very generic._x000D_
_x000D_
_x000D_
In the context of the five review elements, please _x000D_
evaluate the strengths and weaknesses of the proposal with respect to broader impacts._x000D_
_x000D_
+ the fact that the proposal tries to look at trustworthiness and fairness in relation to data makes it inherently broadly applicable; it is a very important topic in which not many practical abstractions exist_x000D_
_x000D_
+ the record of the principal investigator in educating underrepresented groups is commendable._x000D_
_x000D_
- unless we miss something, we do not see a major plan to change curriculum based on the support obtained from funding this proposal. The statement is "the proposed research will enhance course contents" which appears insufficient._x000D_
_x000D_
_x000D_
Please evaluate the strengths and _x000D_
weaknesses of the proposal with respect to any additional solicitation-specific review criteria, if _x000D_
applicable_x000D_
_x000D_
+ there is a clear connection between the three areas in this proposal_x000D_
_x000D_
- the plans for collaborations are quite generic, we do not see many interesting ideas here._x000D_
_x000D_
- there do not appear to be any interesting interactions with other entities, such as commercial, for the research in this proposal._x000D_
_x000D_
- we do not see wide dissemination of artifacts other than publications._x000D_
_x000D_
_x000D_
Summary Statement_x000D_
_x000D_
Overall, this proposal appears to be at best of  fair quality. We do not see details of research, in very few cases there are described ideas that are clearly new. There are no real plans to develop curriculum based on this research. The operational plans are generic. I commend the authors for choosing a couple topics which are important and difficult to formalize such as fairness and trustworthiness. On the other hand, there is little detail of what are the new ideas that will help crack the challenges, or details about the investigators' prior research in the respective areas. The three areas are represented conceptually but the mathematical angle is perhaps a bit faint compared to other proposals._x000D_
_x000D_
_x000D_
</t>
  </si>
  <si>
    <t xml:space="preserve">In the context of the five review elements, please _x000D_
evaluate the strengths and weaknesses of the proposal with respect to intellectual merit._x000D_
_x000D_
The PIs propose very specific problems - word embeddings in NLP, a hybrid parametric/non-parametric estimation problem, privacy in deep learning, and more. While I appreciated the concreteness of the problems described, they were too scattered to amount to a significant whole, and I did not get the sense that the team would develop techniques and foundations for data science as a whole._x000D_
_x000D_
Also, while most of the proposal refers to 2 PIs, in the budget and the CVs we finally encounter the other senior personnel... it even appears that some of the research thrusts such as privacy in deep neural nets come from these other personnel. The PIs would do well to provide a more coherent narrative integrating the other PIs._x000D_
_x000D_
Missing in this proposal is clear strength in theoretical computer science - one of the three legs of the TRIPODS program._x000D_
_x000D_
The proposal did identify many specific research topics. It identified the roles of the 3 disciplines on these topics._x000D_
_x000D_
The proposal did describe novel center-like activities - student training across departments, faculty cross-training, co-teaching across departments. But there wasn't much talk of visitors, center-like programs, etc. _x000D_
_x000D_
I am unable to judge the level of synergy between the PIs, but the specific disciplines that are supposed to be covered in the TRIPODS program don't seem to be covered by this project._x000D_
_x000D_
It's not clear if this proposal will develop a common terminology for foundational concepts across the disciplines. The proposed problems are of practical interest and so the proposal has an application focus already. _x000D_
_x000D_
_x000D_
_x000D_
Problems on privacy and fairness will be considered in this project._x000D_
_x000D_
_x000D_
_x000D_
In the context of the five review elements, please _x000D_
evaluate the strengths and weaknesses of the proposal with respect to broader impacts._x000D_
_x000D_
The institute at Lehigh would reduce redundancy in course offerings between various schools (and their departments) and also bring into contact researchers in these schools, who seldom have such contact otherwise. Both PIs have a good track record of advising women and will continue to do so._x000D_
_x000D_
Please evaluate the strengths and _x000D_
weaknesses of the proposal with respect to any additional solicitation-specific review criteria, if _x000D_
applicable_x000D_
_x000D_
The proposal reads like it will correct some institutional problems at Lehigh, such as the barriers between schools and redundancies in course offerings, but doesn't spend much time describing what truly positive effect the integration will have._x000D_
_x000D_
The vision is fine, but _x000D_
_x000D_
There is no mention of industry collaboration. _x000D_
_x000D_
The evaluation plans seem to talk more about the evaluation of particular results on particular problems rather than the evaluation of the project as a whole._x000D_
_x000D_
_x000D_
_x000D_
Summary Statement_x000D_
_x000D_
A more clearly defined team that is responsive to the TRIPODS call would have strengthened the proposal. Also, while the PIs describe problems in detail, they do not spend enough time talking about the big picture._x000D_
_x000D_
</t>
  </si>
  <si>
    <t xml:space="preserve">In the context of the five review elements, please _x000D_
evaluate the strengths and weaknesses of the proposal with respect to intellectual merit._x000D_
_x000D_
This is project for an institute hosted at Lehigh Univesity and involving 12 faculty with strong qualifications and a broad range of expertise. _x000D_
_x000D_
Strength: +_x000D_
Weakness: -_x000D_
_x000D_
+ The proposal specifies 4 research directions, that among else touch upon privacy and fairness, which are topics of interest according to the solicitation.    _x000D_
_x000D_
+ The proposed topics appear to be quite broad and ambitious. _x000D_
- There is no concrete collaboration plan on at least some of the research topics, besides an assignment of research groups to the topics. _x000D_
_x000D_
- Including some slightly more concrete and 'down to earth' research topics would have been good._x000D_
_x000D_
+ The proposal articulates very well the 'language barrier' problem in data science and includes some interesting ideas for addressing it, such as "rotations" of students, course cross listing etc._x000D_
_x000D_
- The center-like activities are about standard. _x000D_
+ Perhaps realistically, the proposed institute focuses on local activities that can have a global impact by providing an example to others: For instance creating an example for "breaking the siloes" among departments at a smaller University with little prior activity focused on data science (with the exception of recent CS hirings)._x000D_
_x000D_
In the context of the five review elements, please _x000D_
evaluate the strengths and weaknesses of the proposal with respect to broader impacts._x000D_
_x000D_
+ The proposal argues that besides the standard broader impact through educational activities, the proposed research will also have an unusual broader impact due to its socially sensitive nature (privacy, fairness, bias)_x000D_
_x000D_
- No plans for industry or domain engagement._x000D_
_x000D_
Please evaluate the strengths and _x000D_
weaknesses of the proposal with respect to any additional solicitation-specific review criteria, if _x000D_
applicable_x000D_
_x000D_
* Among the broad themes of the solicitation, the proposal addresses the development of a common language, and privacy/fairness. _x000D_
_x000D_
+ The PIs are well qualified to perform the proposed research._x000D_
- The solicitation gives an emphasis in theoretical computer science (TCS), but the team of the senior personnel does not include a person who is active in the core TCS venues. This somehow is reflected in the references, which do not include any reference to a FOCS/STOC/SODA paper (only one  to ICALP)   [suggestion: perhaps you should have tried to locate and include external collaborators]_x000D_
_x000D_
- By the proposal's admission, the existing synergy among the PIs is virtually non existent._x000D_
_x000D_
+ There are plans for assessment, which notably includes assessing the progress via collaborative funding. _x000D_
_x000D_
+ Matching funds from other sources (individual projects of the PIs) will be directed to enhance the impact of the proposed institute. _x000D_
_x000D_
- There is no clear vision for the foundations of data science._x000D_
_x000D_
+ There seems to be a concrete mission for the institute, which is to "act locally, think globally", i.e. support activities that will enhance data science and its foundations at the location of the Institute, providing examples globally. _x000D_
_x000D_
- The proposal includes a plan for Phase II, but the envisioned expansion is not very convincing and it only mentions additional local research capacity. This is not very realistic, and also probably not enough for any Phase II project  [suggestion: a bolder proposal would be to act as coordinator and meeting place for smaller institutions that want to advance data science locally]_x000D_
_x000D_
Summary Statement_x000D_
_x000D_
This is a proposal for a mostly inward-looking Institute at Leigh University. The proposal addresses some of the broad themes of the solicitation, by means of a local example of "breaking the siloes" between departments and communities. The proposed research is interesting and it includes some ambitious (high-risk high-reward )topics. Still, the integration and synergies between the communities/departments seems to be very underdeveloped. Funding this proposal would probably help develop these synergies at the location of the proposal and possibly provide a more global example, as the proposal argues. But it is not clear whether such an effort can be funded as an "Institute"; there may be other funding opportunities that address specifically educational and curriculum development needs._x000D_
_x000D_
</t>
  </si>
  <si>
    <t>The study of data has often progressed independently across multiple disciplines, but disciplines have collided in this era of big data and associated computational tools.  Recognizing the barriers between disciplines, this institute will facilitate cross-disciplinary research and understanding, and build a unified interdisciplinary data science community.  In the process of building bridges ourselves, we will train the next generation of data scientists with multi-disciplinary perspectives and impact the fundamental theories that underlie data science.With a large team in our small institute, we propose to make intellectual advances in a number of fundamental areas of data science:_x000D_
1. Modern distributed data representations are really knowledge representations.  We will provide careful theoretical analyses: to understand the information capacity of embeddings generated with particular hyperparameters; to facilitate comparisons between embeddings that were generated with stochastic methods; and, to enable incorporation of additional non-contextual knowledge, all of which will result in improved quality of embeddings._x000D_
2. The trade-off in complexity versus robustness of models is often difficult to determine.  We will examine semiparametric models and functional analysis to understand and evaluate the efficiency of statistical learning algorithms and robustness to noise and incomplete information, and to help moderate the tension between overfitting and underfitting data._x000D_
3. We will extend differential privacy to the setting of hierarchical feature representation (e.g., as used in deep learning settings)._x000D_
4. We will develop algorithms that balance similarity and diversity in clustering to increase fairness of the resulting analysis._x000D_
5. We will develop and analyze a game theoretic framework to model adversarial settings for various kinds of spam.The proposed work will be impactful in a number of ways._x000D_
1. The research questions we will address in data representation, semiparametric models, privacy, fairness and trustworthiness are not only interdisciplinary areas of fundamental importance, but answers to the theoretical questions in these research thrusts will also have impact on the many application areas that will use them._x000D_
2. Some of the research (especially on privacy and fairness of algorithms) addresses societal concerns about data mining and data science broadly._x000D_
3. This work will provide education and training directly for a good number of graduate students and postdocs, but also for faculty, and indirectly for undergraduates.  It will also promote interdisciplinary thinking in new data science educational programs._x000D_
4. The institute will help to break down the silos of the three departments at Lehigh and provide a model to do so elsewhere.</t>
  </si>
  <si>
    <t>1740759</t>
  </si>
  <si>
    <t>Gilbert</t>
  </si>
  <si>
    <t xml:space="preserve"> Panel Summary       
 Description: This is a collaborative proposal from University of Michigan and Michigan State University. The proposed research activities include representations of high dimensional data and complex algorithmic structures, as well as machine learning under constraints on computation, privacy and fairness. The proposal has detailed plans on data science educations at both the undergraduate and graduate levels as well as in non-traditional forms.  _x000D_
_x000D_
_x000D_
Intellectual Merit: _x000D_
_x000D_
Strengths _x000D_
+ The problems of representing high dimensional data and complex algorithmic structures are important for data science. _x000D_
+ The PIs have strong records in the above-mentioned research directions. _x000D_
_x000D_
Weaknesses _x000D_
- The proposed research activities are about extending existing theories and methods in the literature. The potential to be transformative is limited. _x000D_
- The proposed research plan on machine learning with fairness is weak, and does not reflect the literature. _x000D_
- The proposed research is mainly about applied math. The statistics and machine learning aspects needs to be strengthened. _x000D_
_x000D_
_x000D_
Broader Impact: _x000D_
_x000D_
Strengths _x000D_
+ The proposal has strong plans on data science education at both the graduate and undergraduate levels, as well as in non-traditional forms. _x000D_
+ The proposal has detailed plans on organization, management, and center building, as well as plan for transition to phase 2. _x000D_
+ The plan to leverage Midwest Big Data Hub is good. _x000D_
_x000D_
Weaknesses_x000D_
- The outreach to industry should be strengthened.   _x000D_
_x000D_
_x000D_
TRIPODS-specific criteria: _x000D_
_x000D_
Strengths _x000D_
+ The proposed research seeks to address some of the fundamental issues in data science. _x000D_
+ The proposal has strong plan on education and workforce development. _x000D_
+ The proposed activities will be carried out in collaboration with existing data science initiatives at University of Michigan and Michigan State University. _x000D_
+ There is a clear plan on developing capacity for potential Phase II operations. _x000D_
+ There are well defined timeline and milestones and measures of success. _x000D_
_x000D_
Weaknesses _x000D_
- The synergy among statistics, theoretical computer science and mathematics is not particularly strong. _x000D_
- The scope of the proposed research is somewhat narrow and not particularly novel. _x000D_
_x000D_
_x000D_
Collaboration and Evaluation Plan: There are detailed plans on collaboration and evaluation. The proposal identifies specific projects and the teams that will work on these projects. The proposal clearly defines timeline and milestones. _x000D_
_x000D_
_x000D_
Data Management Plan: Adequate. The proposed research in Phase I does not involve collecting new data. _x000D_
_x000D_
_x000D_
Post-doctoral Mentoring Plan: Adequate. _x000D_
_x000D_
_x000D_
Suggestions to PI: The PIs may want to sharpen the research part of the proposal, in particular, the PIs may want to improve the part on machine learning under fairness constraint. _x000D_
_x000D_
_x000D_
Justification for Panel Rating: The proposed research is fundamental to data science. The proposed education and training activities are strong. The center-like activities are well thought out. However, the panel felt that the research plan could have more depth._x000D_
_x000D_
Panel Rating: _x000D_
_ Highly Recommended _x000D_
X Recommended _x000D_
_ Not Recommended _x000D_
_x000D_
_x000D_
The summary was read by/to the panel and the panel concurred that the summary accurately reflects the panel discussion._x000D_
 _x000D_
</t>
  </si>
  <si>
    <t xml:space="preserve">Dear Professor Gilbert and Professor Christlieb,_x000D_
_x000D_
I regret to inform you that the NSF proposal CCF 1740759; 1740746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CCF 1740759; 1740746 _x000D_
Title: Collaborative Research: Mathematical and Algorithmic Structures in Science and Engineering _x000D_
PI: Anna Gilbert, Xuanlong Nguyen; Andrew Christlieb, Arun A. Ross _x000D_
Institution: University of Michigan Ann Arbor; Michigan State University_x000D_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This collaborative proposal from two campuses describes research focussed on three themes:  (1) representation of high dimensional data structures; (2) representation of complex algorithmic structures; and (3) learning with constraints: computation, privacy and fairness. More specific problems considered within these themes include asymptotic theory for representing high dimensional data, principles for data normalization, deep learning representation theory, combinatorial inverse problems, semi-random models and algorithms, geometric foundations for convergence analysis, principles for algorithm scaling and approximation, and fairness-aware learning theory._x000D_
_x000D_
Broader impacts described in the project summary include data science curriculum revisions on the two submitting campuses, workshops to develop foundational courses and teaching materials for data science educational programs, and outreach to students and teachers at pre-collegiate levels._x000D_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E, V/G, and G._x000D_
_x000D_
This proposal was among the seven rated Recommended._x000D_
_x000D_
Intellectual Merit: Reviews and the panel summary tell us that the members of the  team behind this proposal have strong research records that include contributions to the problems identified as central in this submission.  Although the team touches all three of the central TRIPODS disciplines, our panel felt that the proposal was mainly grounded in applied mathematics, needed stronger representation from statistics, and offered a weak plan and account of fairness concerns in machine learning. The synergy between statistics, theoretical computer science, and mathematics was reported in the panel summary  to be "not particularly strong."_x000D_
_x000D_
While the panel agreed with the principal investigators that the themes and problems addressed by the proposal are important for data science, and the panel believes that the team members are likely to make progress on some of those problems, the panel also found the proposed research activities to extend existing theories and methods, and to offer limited potential to set new directions or to transform the field._x000D_
_x000D_
Broader Impact:  The panel felt that the proposal offer strong plans on data science education and workforce development.  The plan to build upon connections to the Midwest Big Data Hub was judged favorably, but  we are told that outreach to industry should be strengthened._x000D_
_x000D_
Solicitation-Specific Criteria:  Our panel found that the proposal offered detailed plans on organization, management, and center building.  The plan for developing capacity for Phase II operations was judged to be clear, and the proposal is reported to offer well defined timelines and measures for success.  The collaboration and evaluation plans identify specific projects and the teams for those projects. _x000D_
_x000D_
Outlying Reviews:  The most positive review carries an Excellent summary rating.  The features of the proposal judged favorably by that reader are listed in the review's summary statement: "This is a very good proposal with a good research plan on some of the core issues in data science. It has detailed education and outreach plans, as well as organization and management plans."_x000D_
_x000D_
One of the weaknesses identified in this review was given greater stress by the panel after discussion of the proposal: "The proposed research in general appears to be incremental instead of being transformative."_x000D_
_x000D_
Analysis and Recommendation: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All of the nine proposals ranked by Panel II in the Highly Recommended or Recommended categories were discussed by the management team as candidates for awards, along with a comparable number of proposals ranked  in those categories by TRIPODS Panel I.   Substantially more proposals were under consideration at this stage than we could recommend for awards.  _x000D_
_x000D_
The panel's criticisms of this submission for an incremental research program and weak synergies between the three core data science fields made this a lower priority in the TRIPODS context than a number of other proposals._x000D_
_x000D_
Recommendation:  Declination._x000D_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</si>
  <si>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The PIs propose an Institute for Data Science Foundations based at the University of Michigan and Michigan State University. The research will focus on three areas: Representation of High-Dimensional Data, Representation of Complex Algorithmic Structures and Learning with Constraints: Computation, Privacy and Fairness._x000D_
_x000D_
These areas hit on certainly important questions in data science. The first area representation of high-dimensional data is about how to give a simpler description for that data while retaining the important aspects, critical in many applications. The second area is about convolutional neural networks and representing them mainly using random matrix theory to get a better understanding to attempt to formalize why they work so well. The third area is, as the title suggests, really three different areas, finding better learning algorithms and exploring fairness. The privacy part is not expanding upon in the proposal._x000D_
_x000D_
The PIs are strong among the three communities (math, theoretical CS and statistics). I have no doubt they will successfully produce strong research along the lines suggested in the proposal. I have some doubts about viewing a CNN as random matrices with non-linear operators in-between, the matrices are only random in the learning process--they should be quite structured in the end. Nevertheless this is something worth exploring._x000D_
_x000D_
My main issue is that these three areas don't have a common theme or vision, and, particularly the subareas, seem to fit the PIs more than being justified as the right areas of foundational data science to focus on. The proposal should allow more flexibility as the institute develops to address broader issues of data science._x000D_
_x000D_
In the context of the five review elements, please _x000D_
evaluate the strengths and weaknesses of the proposal with respect to broader impacts._x000D_
_x000D_
The broader impacts is mainly focused on education, doctoral mentoring and graduate and undergraduate curriculum development with some limited mention of outreach to other research communities. I have no doubt the PIs will be successful along these lines._x000D_
_x000D_
An institute like this should have a larger impact, through movement of science to practice and connections to industry. Even though this is a theoretical proposal, it still could use a grounding in the data science needs of the other sciences and outside the university._x000D_
_x000D_
_x000D_
Please evaluate the strengths and _x000D_
weaknesses of the proposal with respect to any additional solicitation-specific review criteria, if _x000D_
applicable_x000D_
_x000D_
The institute does have broad coverage between the three communities (math, stats, TCS) and has some synergistic activities by having researchers from the same communities in the various themes. The specific roles each PI plays is well laid out in the collaboration plan._x000D_
_x000D_
Of the broad themes, this proposal hits only on curriculum, fairness and privacy, though fairness and privacy are not well fleshed out._x000D_
_x000D_
Each area has a nice vision but lacks a unifying vision or mission of foundations of computer science. _x000D_
_x000D_
There is a well-designed structure and an impressive set of qualitative and quantitative measures of success of the institute. The institute could have a more unifying board that help sets and changes direction to ensure this institute remains a leader in data science foundations._x000D_
_x000D_
Summary Statement_x000D_
_x000D_
This proposal has strength in many areas of foundations of data science with strong researchers across the three communities. For a TRIPODS institute it would have been nice to see a unifying vision and a broader range of activities._x000D_
_x000D_
</t>
  </si>
  <si>
    <t xml:space="preserve">In the context of the five review elements, please _x000D_
evaluate the strengths and weaknesses of the proposal with respect to intellectual merit._x000D_
_x000D_
The proposed work is a new institute  for foundations of data science in the midwest  including UM and MSU. _x000D_
_x000D_
The research directions proposed:_x000D_
-  Representation of high dimensional data, eg., represent matrices_x000D_
with complex structure, multi-way tensors, graphs, random polytopes, etc., using summaries or random matrix, measures._x000D_
- Representation of complex algorithmic structures such as deep learners, eg., establish connection between random matrix theory and deep learning, inverse problems and compressed sensing, semi-random models etc._x000D_
architectures_x000D_
-  Learning with constraints such as computation, privacy and fairness, eg., approximation and learning, convergence analysis and fairness-aware learning._x000D_
_x000D_
PIs span different sets of one or two out of the 3 areas, with Math referring to functional analysis and representations, CS referring to randomized methods and machine learning analysis, and Stats referring to machine learning and data models. _x000D_
_x000D_
Proposal identifies collaborations for _x000D_
personalized health and medicine, computational_x000D_
social science, transportation science, and learning analytics._x000D_
_x000D_
Strengths:_x000D_
-  Expertise in applied math areas, with prior collaboration across areas with theory CS. _x000D_
- Clearly identified set of applied teams and problems for collaboration, including with Big  Data Hub and other institutions_x000D_
-  Clearly worked out management plan. _x000D_
_x000D_
Weaknesses:_x000D_
- The Statistics component has to be expanded and novel theory CS components/challenges have to be emphasized. _x000D_
- The machine learning agenda seems somewhat thin, needs more specific research insights. _x000D_
- More details on how the technical components have potential in collaborations in health/medicine/social science etc and novel pathways to that will be useful._x000D_
_x000D_
In the context of the five review elements, please _x000D_
evaluate the strengths and weaknesses of the proposal with respect to broader impacts._x000D_
_x000D_
Broader impacts._x000D_
- Impact multiple research communities via foundational concepts. _x000D_
- Will incorporate outcomes into  grad courses. _x000D_
- Have innovative MOOC plans and workshop for developing curricula._x000D_
- Collaboration with Big Data Hub will help with outreach to  industry. _x000D_
_x000D_
Strengths:_x000D_
- Research insight will impact multiple disciplines. _x000D_
- Detailed plan for curricula development including MOOCs. _x000D_
_x000D_
Weaknesses:_x000D_
- Identifying new pathways to get methods out to external world via code etc, industry collaborations will be useful, given the applied motivations._x000D_
_x000D_
Please evaluate the strengths and _x000D_
weaknesses of the proposal with respect to any additional solicitation-specific review criteria, if _x000D_
applicable_x000D_
_x000D_
Proposal describes several research directions, where two or more of these areas interact. Representation problems show connection between functional approximation and data summaries; _x000D_
representing algebraic structures shows connections between learning, statistical models, and applied math methods; ML with constraints shows role of theory CS.  Bringing out novelty in the proposed research in particular with respect to theory CS and Statistics will be useful. Connecting these questions to grand challenges in data science will also be useful. _x000D_
_x000D_
Strengths:_x000D_
- There is potential  synergy between representing data and representing algorithms, and PIs have the potential to exploit this. _x000D_
- Proposal clearly lays out a management plan with various committees and specifically has an evaluation committee.  Also, proposal lays out detailed timeline. _x000D_
_x000D_
Weaknesses:_x000D_
- Proposal needs to explore the strength and weakness of 'data/algorithm representations'  as a vision for Data Science. _x000D_
- The synergy with theory CS and in particular, say optimization, needs to be developed more, perhaps by expanding partnerships._x000D_
_x000D_
Summary Statement_x000D_
_x000D_
The proposed research directions are significant. The proposal has applied mathematics components worked out, and more connections need to be established to statistics, and more novelty in _x000D_
how theoretical CS connects with these components.  The machine learning component has to be fleshed out with more insights.  PIs have to make a case that the specific representations they seek and the general approach of data and algorithms via representations address core Data Science problems._x000D_
_x000D_
</t>
  </si>
  <si>
    <t xml:space="preserve">In the context of the five review elements, please _x000D_
evaluate the strengths and weaknesses of the proposal with respect to intellectual merit._x000D_
_x000D_
Strengths: _x000D_
_x000D_
+ The proposed research activities include representation of complex high dimensional data,  representation of complex algorithmic structures, and machine learning with constraints. These are all fundamental issues in data science._x000D_
_x000D_
+ The team consists of researchers from statistics, applied math, and computer science. The PIs have strong records, and the proposed research is likely to be successful. _x000D_
_x000D_
Weaknesses: _x000D_
_x000D_
- The proposed research on machine learning under constraints is the relatively weak part._x000D_
_x000D_
- The application of random matrix theory to analyzing deep convolutional neural networks is not convincingly explained. _x000D_
_x000D_
_x000D_
_x000D_
In the context of the five review elements, please _x000D_
evaluate the strengths and weaknesses of the proposal with respect to broader impacts._x000D_
_x000D_
Strengths: _x000D_
_x000D_
+ The proposal has strong plans on education, training and outreach. It has detailed plan on data science education at both the undergraduate and graduate levels and in less traditional forms. _x000D_
_x000D_
+ It has a strong management plan, with various committees,  as well as clearly defined timeline and milestones. The vision on building a center is clear._x000D_
_x000D_
Weaknesses: _x000D_
_x000D_
- The outreach to industry is not particularly strong._x000D_
_x000D_
Please evaluate the strengths and _x000D_
weaknesses of the proposal with respect to any additional solicitation-specific review criteria, if _x000D_
applicable_x000D_
_x000D_
Strengths: _x000D_
_x000D_
+ The proposal is a very good match to the program. The proposed research activities are clearly explained, and they are at the core of data science. _x000D_
_x000D_
+ The synergy among theoretical computer science, statistics and mathematics is good. _x000D_
_x000D_
+ The institutional activities, organization, management and evaluation plans are strong. _x000D_
_x000D_
+ There is a clear plan for transitioning to Phase II. _x000D_
_x000D_
Weaknesses: _x000D_
_x000D_
- The proposed research on machine learning with constraints is relatively weak. _x000D_
_x000D_
- The proposed research in general appears to be incremental instead of being transformative._x000D_
_x000D_
Summary Statement_x000D_
_x000D_
This is a very good proposal with a good research plan on some of the core issues in data science. It has detailed education and outreach plans, as well as organization and management plans._x000D_
_x000D_
</t>
  </si>
  <si>
    <t>Only by working together can the mathematics, statistics and theoretical computer science (MSCS) communities make significant progress in establishing data science as a true scientific discipline. The 8 co-PIs and senior personnel from UM and MSU will establish an Institute for Data Science Foundations (IDSF) that will bring these three communities together to build mathematical principles, reinvent data science education, and develop the workforce. The IDSF will be a regional center that combines the forces of two large universities (University of Michigan and Michigan State University) with very strong programs in MSCS fields. Recognized for their major institutional investments in translational data science research and education initiatives, these two universities are committed to progressing to a larger Phase II effort that creates and sustains a premier national Institute for foundational transdisciplinary data science. The 8 co-PIs and senior personnel, and more than 20 collaborators, are committed to helping IDSF achieve its goals.Phase I research will be organized around three themes: 1) representation of high dimensional data structures; 2) representation of complex algorithmic structures; 3) learning with constraints: computation, privacy and fairness. These themes are foundational, underlying virtually every analysis tool for deriving information from complex data. However, these constitute largely open problems on which progress can lead to breakthroughs in tool design, performance prediction, and scientific understanding. Among the problem areas that the institute will address in these thrusts are: asymptotic theory for representing high dimensional data; principles for data normalization; deep learning representation theory; combinatorial inverse problems; semi-random models and algorithms; geometric foundations for convergence analysis; principles for algorithm scaling and approximation; and fairness-aware learning theory.The proposed Institute will impact the theory and practice of data science from the pre-college to the post-graduate levels. The primary educational objective of the Institute will be to infuse mathematical, statistical and algorithmic principles into the data science curricula at UM and MSU. This will result in making data science more accessible to students from a wider range of backgrounds, eliminate the multi- prerequisite bottleneck, and put the field on a firmer theoretical footing making it easier to learn the basic tools and principles. A series of workshops will be organized that bring together leaders from the MSCS fields to develop integrated foundational courses and teaching materials for data science educational programs._x000D_
_x000D_
The principal workforce development objective of the Institute is to increase data science literacy and competency through outreach and continuing education offerings. Proposed pre-college outreach activities will inspire high schoolers to go into STEM fields by teaching them data science in action. Continuing education activities will reach educators that have not been previously exposed to transdisciplinary data science teaching methods to be developed by the Institute faculty. Open access on-line courses and short courses will be developed in foundational data science that will reach a diverse audience of international and trans-economic scope._x000D_
_x000D_
By leveraging the resources and facilities of two of the largest research universities in the Midwest, the Institute will have significant regional impact and reach a very diverse cross-section of students, industry, and the workforce. The Institute will develop the capacity to become the premier location for the MSCS communities to interact in order to further the impact of data science on education, workforce development, and society.</t>
  </si>
  <si>
    <t>1740761</t>
  </si>
  <si>
    <t xml:space="preserve"> Panel Summary       
 Description:_x000D_
This proposal seeks to understand large data sets by focusing on global information on the topological structures, geometric shapes, and underlying dynamics. This will be pursued by the proposing team, leveraging the strength of several existing institutes, including the Translational Data Analytics (TDA) Center, the new undergraduate Data Analytics Program, and the Mathematical Biology Institute. The PIs have recently formed a Topology, Geometry, and Data Analysis (TGDA) Group, and they propose to ride on their synergy to launch a new institute along the line of TGDA. Institute activities are proposed that include data science curriculum development, summer workshops on three focused topics, two summer schools on topics related to TGDA, software development, and student research mentoring._x000D_
_x000D_
Intellectual Merit:_x000D_
_x000D_
Strengths:_x000D_
+ The research is well-explained, and is very much relevant to data science._x000D_
+ The team has a strong track record, and includes people from all 3 research communities. _x000D_
_x000D_
Weaknesses:_x000D_
- The proposed research is more focused on mathematics, with less relevance with machine learning and statistics. _x000D_
- Some panelists questioned the role of computational topology within data science, while others thought it is very much relevant._x000D_
_x000D_
Broader Impacts:_x000D_
_x000D_
Strengths: _x000D_
+ The workshops were felt to be a good way to communicate their mathematical ideas to the computer science and statistics communities._x000D_
+ The applications of the proposed research could have positive impacts to the society._x000D_
+ Integration of research and undergraduate curriculum._x000D_
_x000D_
Weaknesses:_x000D_
none noted._x000D_
_x000D_
_x000D_
TRIPODS-specific criteria: _x000D_
_x000D_
Strengths _x000D_
+ The proposal lays out a clear vision for an institute focusing on geometric and topological data analysis._x000D_
+ The PIs have clear existing interdisciplinary collaborations to support this work. _x000D_
_x000D_
Weaknesses _x000D_
- The applications to domain sciences could be more thoroughly discussed._x000D_
- Plan for Phase II capacity development was not thoroughly discussed._x000D_
_x000D_
Collaboration and Evaluation Plan: The Collaboration Plan is good with descriptions on existing collaborations and plan for project collaboration. The Evaluation Plan is adequate._x000D_
_x000D_
Data Management Plan: The Data Management Plan is appropriate with explanation for allowing public access and software sharing._x000D_
_x000D_
Post-doctoral Mentoring Plan: The Postdoctoral Mentoring Plan is adequate._x000D_
_x000D_
Suggestions to PI: There are communities --- not only in industry, but also in research --- with prior experience in applying topological analysis to real life applications in specific domains. The panel encourages the PIs to engage with that community more to (a) find potential uses for the specific structure or shape or dynamics PIs study, and (b) enrich the class of problems PI study informed by the need for topological data analyses in various Data Science domains. _x000D_
_x000D_
Justification for Panel Rating: This proposal has an unique strength in that it combines topology and geometry into data analysis. The proposed research is strong, and the center like activities are good. The proposal could be enhanced further with more demonstrations for applications. _x000D_
_x000D_
Panel Rating: _x000D_
_ Highly Recommended _x000D_
X Recommended _x000D_
_ Not Recommended _x000D_
_x000D_
The summary was read by/to the panel and the panel concurred that the summary accurately reflects the panel discussion._x000D_
_x000D_
</t>
  </si>
  <si>
    <t>This project will advance the methodological and theoretical foundations of data analytics by considering the geometric and topological aspects of complex data from mathematical, statistical and algorithmic perspectives, thus enhancing the synergy between the Computer Science, Mathematics, and Statistics communities. Furthermore, this project will benefit a range of impactful scientific areas including medicine, neuronanatomy, machine learning, geographic information systems, mechanical engineering designs, and political science.  The research products will be implemented and disseminated through software packages and tutorials, allowing widespread application by industrial and academic practitioners.  Through this project, the PIs will develop curricula for cross-disciplinary, undergraduate and graduate education.  There is already extant data science curriculum offered jointly between Statistics and Computer Science and Engineering at The Ohio State University (OSU), including the recent Data Analytics undergraduate major, providing a platform to develop new courses and an opportunity to engage future industry leaders in basic research.  Additionally, this project aims to develop partnerships with the Translational Data Analytics and the Mathematical Biosciences Institutes at OSU, as well as other internal and external research and education centers.  Plans for workshops and summer schools are included for outreach and training purposes._x000D_
_x000D_
In the past few decades, a large number of models, methods, and algorithmic frameworks have been developed for data science.  However, as data become increasingly more complex, the field faces new challenges.  In particular, the non-Euclidean nature, the higher order connectivity, the hidden global cues, and the dynamics regulating the data pose further challenges to existing methods.  This project will explore and leverage the geometric and topological structures inherent in the data to tackle some of these problems.  The main aims are to discover, model and reveal information in the form of (i) structures in data, (ii) shapes from data, and (iii) dynamics underlying data.  This project leverages concepts from mathematical areas of differential and algebraic topology and geometry, applied statistics and combinatorics, and computational areas of algorithms, graph theory, and statistical/machine learning.  Research in geometric and topological data analysis has brought forth the need to recast and reinvestigate classical concepts in statistics and mathematics in the context of finite data, approximations, and noise.  This project investigates explicit or hidden structures behind data, such as cluster trees, which are the basis for understanding and efficient processing of data.  Additionally, the PIs aim to model the precise shape behind data globally or locally, which are essential for providing a platform where various statistical analyses can be carried out.  Particular examples include the shape space of surface models and the tree space of phylogenetic trees.  Finally, this project will consider dynamics in the data, where the interplay between temporal and topological/geometric features can lead to deeper insights.  All of these areas will inevitably be enriched by new applications.</t>
  </si>
  <si>
    <t xml:space="preserve">Proposal Number: 1740761_x000D_
PI: Dey, Tamal_x000D_
Co-PIs: Sebastian Kurtek, Facundo Memoli, David J Sivakoff, Yusu Wang_x000D_
Institution: Ohio State University    _x000D_
Project Title:     Topology, Geometry, and Data Analysis (TGDA@OSU):Discovering Structure, Shape, and Dynamics in Data    _x000D_
_x000D_
_x000D_
Dear Professors Dey, Kurtek, Memoli, Sivakoff, and Wang,_x000D_
_x000D_
Congratulations! I am delighted that your proposal submitted to the Transdisciplinary Research in Principles of Data Science Phase I solicitation has received an award. This will be a three-year standard award in the total amount of $1,500,000.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Stark_x000D_
_x000D_
_x000D_
Panel Review:_x000D_
_x000D_
Each proposal was reviewed by at least three members of the panel assigned in advance as reviewers and discussion leaders. One of the reviewers was appointed by the managing Program Officer as the scribe to write a summary of the panel's discussion of the proposal. Following the in-depth discussion, the panel was asked to place each project into one of three categories (1) Highly Recommended, (2) Recommended, and (3) Not Recommended._x000D_
_x000D_
Panel ranking:_x000D_
_x000D_
Review Ratings: E/V, V, V_x000D_
Panel Recommendation for this Proposal: Recommended_x000D_
_x000D_
Post Panel Review:_x000D_
_x000D_
After the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funded._x000D_
_x000D_
Topic:_x000D_
_x000D_
The PIs have recently formed a Topology, Geometry, and Data Analysis (TGDA) Group, and they propose to launch a new institute to advance the study of TGDA. They will interface with and leverage several existing institutes at OSU, including the Translational Data Analytics (TDA) Center, the new undergraduate Data Analytics Program, and the Mathematical Biology Institute. Institute activities are proposed that include data science curriculum development, summer workshops on three focused topics, two summer schools on topics related to TGDA, software development, and student research mentoring._x000D_
_x000D_
Intellectual Merit:_x000D_
_x000D_
The PIs state, "Geometric and topological computation with big and diverse data has created the need for looking at some of the classical concepts in statistics and mathematics from fresh viewpoints." The research plan focuses on mathematical techniques for finding structure (both static and dynamic) in data. The panel stated (tautologically) that this a very important problem for unsupervised learning. The proposal lays out important research questions in the broad area of geometric and topological data analysis, including focuses on clustering and other structural discovery. The panel felt that if the project succeeds in engaging with the computer science and statistical communities (and by extension the machine learning communities), it has the potential to produce very important and impactful outcomes._x000D_
_x000D_
Broader Impacts:_x000D_
_x000D_
The PIs have strong track records in mentoring and training students and the panel expects continued broader impacts from the proposed training efforts. Workshops and summer schools, software development, and student engagement were seen as strengths by the panel. The PIs anticipate practical impact in areas such as medical image analysis, computational neuronanatomy, geographic information systems, mechanical engineering designs, and political science and social studies. The panel felt that the PIs have clear existing interdisciplinary collaborations to support this work._x000D_
_x000D_
TRIPODS-Specific Criteria:_x000D_
_x000D_
The panel felt that the proposal lays out a clear vision for an institute focusing on geometric and topological data analysis. The three thematic workshops (foundations, biology, dynamics) complemented by summer schools were seen by the panel as good mechanisms to disseminate their mathematical ideas into the computer science and statistics communities. Industrial partnerships and concrete plans for TRIPODS Phase II were seen as areas in which the team will need to strengthen its efforts to present a compelling case for funding._x000D_
_x000D_
Summary and Rationale for Recommendation:_x000D_
_x000D_
The TRIPODS Management Team agreed that the intellectual merits and broader impacts of the project were well worthy of support. The research addressed significant foundational data science challenges, with a well-integrated program for curriculum development and mentoring._x000D_
_x000D_
Recommendation:_x000D_
_x000D_
A three-year continuing award at the level of $1,500,000._x000D_
</t>
  </si>
  <si>
    <t>Proposal Number:  1740761 _x000D_
PI:  Dey, Tamal_x000D_
Co-PIs: Sebastian Kurtek, Facundo Memoli, David J Sivakoff, Yusu Wang_x000D_
Institution:  Ohio State University	_x000D_
Project Title: 	Topology, Geometry, and Data Analysis (TGDA@OSU):Discovering Structure, Shape, and Dynamics in Data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One of the reviewers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2 - HR (Highly Recommended); _x000D_
7 - R (Recommended); _x000D_
10 - NR (Not Recommended);  _x000D_
11 - NDP (Not Discussed in Panel)_x000D_
_x000D_
Panel ranking:_x000D_
_x000D_
Review Ratings: E/V, V, V_x000D_
Panel Recommendation for this Proposal:  Recommended, ranked 4th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have recently formed a Topology, Geometry, and Data Analysis (TGDA) Group, and they propose to launch a new institute to advance the study of TGDA.  They will interface with and leverage several existing institutes at OSU, including the Translational Data Analytics (TDA) Center, the new undergraduate Data Analytics Program, and the Mathematical Biology Institute.  Institute activities are proposed that include data science curriculum development, summer workshops on three focused topics, two summer schools on topics related to TGDA, software development, and student research mentoring._x000D_
_x000D_
Intellectual Merit: _x000D_
_x000D_
The PIs state, "Geometric and topological computation with big and diverse data has created the need for looking at some of the classical concepts in statistics and mathematics from fresh viewpoints."  The research plan focuses on mathematical techniques for finding structure (both static and dynamic) in data.  The panel stated (tautologically) that this a very important problem for unsupervised learning.   The proposal lays out important research questions in the broad area of geometric and topological data analysis, including focuses on clustering and other structural discovery.  The panel felt that if the project succeeds in engaging with the computer science and statistical communities (and by extension the machine learning communities), it has the potential to produce very important and impactful outcomes._x000D_
_x000D_
Broader Impacts:  _x000D_
_x000D_
The PIs have strong track records in mentoring and training students and the panel expects continued broader impacts from the proposed training efforts.  Workshops and summer schools, software development, and student engagement were seen as strengths by the panel.  The PIs anticipate practical impact in areas such as medical image analysis, computational neuronanatomy, geographic information systems, mechanical engineering designs, and political science and social studies.  The panel felt that the PIs have clear existing interdisciplinary collaborations to support this work._x000D_
_x000D_
TRIPODS-Specific Criteria:  _x000D_
_x000D_
The panel felt that the proposal lays out a clear vision for an institute focusing on geometric and topological data analysis.  The three thematic workshops (foundations, biology, dynamics) complemented by summer schools were seen by the panel as good mechanisms to disseminate their mathematical ideas into the computer science and statistics communities.  Industrial partnerships and concrete plans for TRIPODS Phase II were seen as areas in which the team will need to strengthen its efforts. _x000D_
_x000D_
Summary and Rationale for Recommendation:  _x000D_
_x000D_
The TRIPODS Management Team agreed that the intellectual merits and broader impacts of the project were well worthy of support.  The research addressed significant foundational data science challenges, with a well-integrated program for curriculum development and mentoring._x000D_
_x000D_
Recommendation: _x000D_
_x000D_
A three-year continuing award at the level of $1,500,000.  The funding is distributed as follows:_x000D_
_x000D_
FY 2017_x000D_
ITR      Org Code 05100002  PEC 041Y  $500,000_x000D_
_x000D_
FY 2018_x000D_
ITR      Org Code 05100002  PEC 041Y  $250,000_x000D_
DMS      Org Code 03040000  PEC 041Y  $250,000_x000D_
_x000D_
FY 2019_x000D_
ITR      Org Code 05100002  PEC 041Y  $250,000_x000D_
DMS      Org Code 03040000  PEC 041Y  $250,000_x000D_
_x000D_
PRCs: _x000D_
_x000D_
047Z TRIPODS Phase 1_x000D_
062Z Harnessing the Data Revolution_x000D_
_x000D_
_x000D_
Tracy Kimbrel, Program Officer_x000D_
Division of Computing and Communication Foundations_x000D_
July 13,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</si>
  <si>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The research plan focuses on mathematical techniques for finding structure in data (static structures or dynamical structures). This is not something I am very familiar with and I regret the lack of explicit connection with the machine learning and statistical communities. On the other hand, looking for structure is clearly the most important problem for unsupervised learning. If they succeed in engaging with the computer science and statistical communities (and by extension the machine learning communities), they could produce very interesting outcomes._x000D_
_x000D_
Research plan focuses on researching structure in data (static or dynamic)_x000D_
- Lack of connection to the ML and Stat community. _x000D_
+ Yet very interesting for unsupervised learning._x000D_
_x000D_
_x000D_
In the context of the five review elements, please _x000D_
evaluate the strengths and weaknesses of the proposal with respect to broader impacts._x000D_
_x000D_
Besides developing a data science curriculum (everybody does this nowadays) they propose to organize three thematic workshops (foundations, biology, dynamics) complemented by summer schools. This can be a good way to push their mostly mathematical ideas into the CS and Stat communities.  Funding is equally split between senior personnel, post-docs, and grad students._x000D_
_x000D_
Please evaluate the strengths and _x000D_
weaknesses of the proposal with respect to any additional solicitation-specific review criteria, if _x000D_
applicable_x000D_
_x000D_
The proposal does not outline a path for phase 2.  However their research proposal and their community building efforts may provide useful additions to a phase 2 center._x000D_
_x000D_
Summary Statement_x000D_
_x000D_
The research plan focuses on the mathematical viewpoint on discovering structure in data. This may be a bit too focused but very interesting for making advances in unsupervised learning. They plan to run summer schools, but did not outline a path towards phase 2. I believe this proposal is worthy of funding because their research program, if carried out synergistically, can provide a good set of new ideas to the CS/Stat/ML communities._x000D_
_x000D_
</t>
  </si>
  <si>
    <t xml:space="preserve">In the context of the five review elements, please _x000D_
evaluate the strengths and weaknesses of the proposal with respect to intellectual merit._x000D_
_x000D_
The proposal lays out research questions in the broad area of geometric and topological data analysis, including focuses on clustering and other structural discovery._x000D_
_x000D_
In the context of the five review elements, please _x000D_
evaluate the strengths and weaknesses of the proposal with respect to broader impacts._x000D_
_x000D_
Broader impacts include workshops and summer schools, software development, and student and institutional support._x000D_
_x000D_
Please evaluate the strengths and _x000D_
weaknesses of the proposal with respect to any additional solicitation-specific review criteria, if _x000D_
applicable_x000D_
_x000D_
The proposal lays out a clear vision for an institute focusing on geometric and topological data analysis and the Co-PIs have clear existing interdisciplinary collaborations to support this work.  The only weakness of this proposal is that it isn't tied tightly enough to the applications that are discussed._x000D_
_x000D_
Summary Statement_x000D_
_x000D_
The proposed work addresses an important area of topological data analysis.  The Co-PIs have the relevant background experience._x000D_
_x000D_
</t>
  </si>
  <si>
    <t>HN0751055</t>
  </si>
  <si>
    <t>Rong</t>
  </si>
  <si>
    <t>rong@gwu.edu</t>
  </si>
  <si>
    <t xml:space="preserve">In the context of the five review elements, please _x000D_
evaluate the strengths and weaknesses of the proposal with respect to intellectual merit._x000D_
_x000D_
The proposal aims at challenges in dealing with large data due to the non-Euclidean nature, the higher order connectivity, the hidden global cues, and the dynamics regulating the data._x000D_
The PIs propose to explore and leverage the geometric and topological structures inherent in the data to tackle some of these challenges. The research will focus on discovering, modeling and revealing information in the form of (i) structures in data, (ii) shapes from data, and (iii) dynamics underlying data._x000D_
_x000D_
The research is well-explained. The team has a strong track record, and does include people from all 3 research communities._x000D_
_x000D_
The institute activities include (1) curriculum development, (2) leveraging existing efforts / facilities including three established institutes, (3) three summer workshops with focused topics, (4) summer schools, software development, and undergraduate   research.  These are good activities for such an institute._x000D_
_x000D_
The engagement with industry is not discussed.  Neither there is any discussion on building capacity for potential future Phase II operations._x000D_
_x000D_
_x000D_
_x000D_
_x000D_
In the context of the five review elements, please _x000D_
evaluate the strengths and weaknesses of the proposal with respect to broader impacts._x000D_
_x000D_
The proposal discussed the impacts from the training efforts.  The PIs do have strong track record in mentoring and training students. In addition, the proposed research could have impacts in society through applications._x000D_
_x000D_
Please evaluate the strengths and _x000D_
weaknesses of the proposal with respect to any additional solicitation-specific review criteria, if _x000D_
applicable_x000D_
_x000D_
The institute activities are rich as discussed above._x000D_
The only thing I wish to add are industrial partnership, as well as plan for Phase II capacity plan._x000D_
_x000D_
Summary Statement_x000D_
_x000D_
Overall, this is a strong proposal with a carefully selected collection of research problems in main stream data science, a well-thought-out list of institute activities  The track record of the team members provides confidence for the chance of success._x000D_
_x000D_
The proposal could have been made stronger with some indication of real partnerships with industry.  Discussions for Plan II capacity plan will also enhance it._x000D_
_x000D_
</t>
  </si>
  <si>
    <t>1740769</t>
  </si>
  <si>
    <t>Wasserman</t>
  </si>
  <si>
    <t xml:space="preserve"> Panel Summary       
 Description: This proposal will create CMU-IFDS at Carnegie Mellon University involving 5 PIs from CS, Statistics and Machine Learning. The institute will facilitate synergy between the research groups of the PIs, and a research portal will aid discussion and communication. The educational component includes a new graduate course, and an annual undergraduate symposium. The proposal discusses research directions on specific topics on finding structure in data, high-dimensional prediction and graphical inference._x000D_
_x000D_
 _x000D_
Intellectual Merit:_x000D_
_x000D_
Strengths_x000D_
_x000D_
+ The institute will leverage CMU's unique strengths in machine learning (they have a ML department within School of CS)._x000D_
+ They already have a Statistical Machine Learning group involving three of the PIs (Wasserman, Tibshirani, Singh), who have existing collaborations._x000D_
+The PI team has a very strong track record, particularly in statistical ML. _x000D_
+ The proposal suggests 9 concrete directions that the PIs plan to work on. _x000D_
_x000D_
_x000D_
Weaknesses_x000D_
_x000D_
-The research outlined is somewhat disjointed and most directions seem narrow in scope._x000D_
- The proposal will mainly continue to fund the usual research agendas of the PI team. Many of the problems and directions outlined in the proposal seem fairly incremental (e.g., sections 4.1, 4.3). _x000D_
- The TCS component of the proposal is relatively weak. Most of the collaborative portions of the proposal are between the three statisticians in the proposal._x000D_
- Some of the directions in the proposal (e.g., High dimensional clustering) were low on specifics._x000D_
_x000D_
Broader Impact:_x000D_
_x000D_
Strengths_x000D_
+ They propose the creation of a new journal on the foundations of data science, and an annual undergraduate symposium on data science._x000D_
+ PI Singh has a strong track record of mentoring women, and encouraging diversity._x000D_
_x000D_
Weaknesses_x000D_
- There are no specific application domains or applied data science groups that the research is connected to.  _x000D_
 _x000D_
TRIPODS-specific criteria:_x000D_
_x000D_
Strengths_x000D_
+ PIs have a very strong track record in their respective fields (particularly strong in Statistics) _x000D_
+ They leverage existing strengths through their Statistical ML group. _x000D_
+ The research portal seems like a novel way of facilitating collaborations and discussions._x000D_
_x000D_
Weaknesses_x000D_
-  The proposal has little institute-level activity associated with it.  _x000D_
- The proposal doesn't make it clear that the expertise of the PI team is balanced.  _x000D_
- Apart from the new journal, there didn't seem to be a good plan for how they would scale up to a much larger institute in Phase 2. _x000D_
 _x000D_
Collaboration and Evaluation Plan: The proposal has plans for a Research portal that will facilitate communication, and discussions across disciplines, and allow for sharing open problems. They also plan weekly research meetings and an undergraduate symposium. The evaluation plan was somewhat weak, and mainly involved paper counts and course reviews. Tracking blog posts, and clicks on the research portal was novel.   _x000D_
_x000D_
Data Management Plan: All the products -- publications, primary data, supplementary data, code, documentation will be available publicly._x000D_
_x000D_
Suggestions to PI: The proposal will be more compelling with a stronger institute organization that also involves the broader ML community (outside of CMU). They would also benefit with a stronger CS component, that involves more CS faculty in the university._x000D_
 _x000D_
_x000D_
Justification for Panel Rating: The main drawback was the absence of larger institute-level activities that would involve the broader ML research community outside CMU as well. Further, the research seemed more incremental than transformative, and was relatively weak on the TCS side. _x000D_
_x000D_
 _x000D_
Panel Rating:_x000D_
_x000D_
_ Highly Recommended_x000D_
_x000D_
_ Recommended_x000D_
_x000D_
X Not Recommended_x000D_
_x000D_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</si>
  <si>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 introduction: as presented, the proposal looks like an extension of an existing research group, which while more credible in terms of building the research experience it is perhaps a bit underwhelming._x000D_
_x000D_
- introduction with the plan deliver in explaining how it will leverage nonclassical problem settings?_x000D_
_x000D_
- introduction: the blog is a good idea, but I would've expected that existing machine learning research group would have had one by now._x000D_
_x000D_
+ personnel: the principal investigators have excellent credentials and past research record._x000D_
_x000D_
+ past results that show that the convergence rate of the minimax risk is dependent on the intrinsic structure are interesting._x000D_
_x000D_
+ Density ridge estimation is quite intriguing given its promise of faster convergence of the estimation. As well is the problem set up itself appears to be quite original._x000D_
_x000D_
+ The estimation of topological structure is a bit narrow but the ideas seem to be original and well designed_x000D_
_x000D_
- the high dimensional prediction ideas are an important, but they appears incremental compared to previous work_x000D_
_x000D_
- high dimensional clustering the problems outlined are interesting but we do not see what will the work consist of._x000D_
_x000D_
+ The nonlocal functional topic is solid; the ideas appear well thought out._x000D_
_x000D_
+ The spectral approach to graph denoising over incoherent graphs is an original to deal with a problem that its genuinely important as an abstraction. It may provide insight onto how to choose efficiently the parameter lambda in problem 3._x000D_
_x000D_
+ The first approximation algorithms are quite intriguing and the idea of solving the problem by solving over multiple chains derived from the original graph may have the promise of obtaining near linear time performance_x000D_
_x000D_
+ the graph embedding direction is an intriguing one in the sense that it allows one to investigate multiple of the techniques deployed here such as optimal transport, fast algorithms and graph concepts. Probably choosing more topics like this would have been even better for the program to which they apply._x000D_
_x000D_
+ The sampling for the near prediction is another intriguing idea that combines techniques from optimization, theoretical computer science (sparsification), and statistics (sampling methods) so indeed would be a very interesting area of research in the spirit of this proposal. Some of the insights in solving such problems are also very intriguing such as using a specialized basis that is likely to contain an optimal estimator._x000D_
_x000D_
_x000D_
In the context of the five review elements, please _x000D_
evaluate the strengths and weaknesses of the proposal with respect to broader impacts._x000D_
_x000D_
-the research portal is a good idea provided that it is constantly used by the people in my experience there are inertial forces unless there is a good plan on how to go about it._x000D_
_x000D_
- the seminar series appears to be an extension of existing activity._x000D_
_x000D_
+ training activities are adequate though one hardly sees here something of high originality_x000D_
_x000D_
- I do not really see a strong application component particularly compared to other applicants._x000D_
_x000D_
_x000D_
Please evaluate the strengths and _x000D_
weaknesses of the proposal with respect to any additional solicitation-specific review criteria, if _x000D_
applicable_x000D_
_x000D_
+ while I was unhappy with the way the portal was described û û partly because from personal experience unless there is a clear plan of how it's going to be used, and the notion of someone who takes personal and complete responsibility for it eventually falls out of use as it is quite time-consuming to update û û I completely agree with the idea that is a fantastic way to measure things and in that way it is quite an original idea to answer this important requirement of the program._x000D_
_x000D_
+ The notion of using the resources to drive towards the creation of a journal dedicated to data science as a way to build up in phase 2 it is a terrific idea and given the people involved a very credible one. _x000D_
_x000D_
+ I do believe that the proposal contains in parts of it at least strong elements of all the three disciplines in a significant manner and I will point to the two topics I have identified above_x000D_
_x000D_
_x000D_
Summary Statement_x000D_
_x000D_
This is a fairly theoretical proposal coming from excellent people with a great record of transdisciplinary science and with a few excellent directions of research. it is only generically tied to applications so in that direction its immediate broader impact is weak. There are very few details and structures that are described to specifically address the requirements of this program and the work appears to be interesting but mostly incremental. (Though in a theoretical sense may be quite important). The integration between the topics is not very credible except for a couple examples. On the other hand, the ideas about the metrics contained a few gems which has typically not been the case in most proposals I have seen._x000D_
_x000D_
_x000D_
</t>
  </si>
  <si>
    <t xml:space="preserve">In the context of the five review elements, please _x000D_
evaluate the strengths and weaknesses of the proposal with respect to intellectual merit._x000D_
_x000D_
The PIs of this proposal plans to create an institute for foundations of data science (IFDS) between the four departments of statistics, machine learning, computer science and mathematics. On the technical front, they propose to address mainly the problems of (i) statistical inference of structures from point clouds, (ii) label propagation and denoising of data based on an input graph (iii) efficient acquisition of data through improved sampling techniques._x000D_
_x000D_
For (i), the PIs propose to investigate the convergence rates for estimations of manifolds and their substructures such as ridges. They mostly rely on statistical techniques that a subset of PIs have worked on. The problem of manifold and their substructure approximations have gained a considerable attention from the field of Computational Geometry. One of the features of these techniques is that they are deterministic and provide with richer structural guarantees. The proposal does not mention any of these efforts. The proposal mentions briefly about applying topological data analysis for this task. But, it is a little disheartening that the proposal only does a lip-service to the effort. For example, there have been a lot of work on extracting topological structures from data in this area, but the proposal only confines to few results by the PI. It is mentioned that [22] developed the theory and method to estimate DTM from data. Other prior work by Chazal et al. have laid the foundation of DTM and others have exploited it to infer topological structures none of which is mentioned._x000D_
_x000D_
For (ii), the proposal advocates using the well known label propagation technique based on functional optimizations on graphs. The PIs propose to extend some of the works in this area by them. This aspect of the proposal constitutes the bulk of the technical contents of the proposal. It includes a spectral based graph embedding  technique that the PIs argue to apply for denoising the data. The description of label propagation is in Sections 4.5. It also describes optimal transport for measures. I find this part somewhat disjoint and dont see how it fits to the rest of the proposal. Sections 4.6 and 4.7 describe the denoising of data on graphs. These are the only sections where some relevance to theoretical computer science is made. _x000D_
_x000D_
For (iii), the PIs again describes some of their research on efficient sampling and some of the open issues with it. This section 4.9 seems to be a little disjoint from the other sections._x000D_
_x000D_
In general, I find this proposal somewhat disjoint when it comes to putting together a coherent theme. It is a bit narrow in terms of its scope. The roles of mathematics and computer science are somewhat subdued._x000D_
_x000D_
In the context of the five review elements, please _x000D_
evaluate the strengths and weaknesses of the proposal with respect to broader impacts._x000D_
_x000D_
The broader impact of the proposal includes curriculum developments across different disciplines relevant to data science. Curricula both at undergraduate and graduate levels will be enhanced and developed with the input from the institute. The PIs point out that CMU has already developed this cross-disciplinary programs through various efforts. It has supported research work across disciplines of statistics, machine learning, computer science and mathematical sciences. Exploratory seminar series and symposia are also on the agenda. In this respect, the established seminar series such as the one in Google Labs will be useful. Co-PI Singh will continue her outreach activities in attracting and training female students. _x000D_
_x000D_
_x000D_
_x000D_
Please evaluate the strengths and _x000D_
weaknesses of the proposal with respect to any additional solicitation-specific review criteria, if _x000D_
applicable_x000D_
_x000D_
(i) The creation of the IFDS research portal for co-ordinating the activities of the institute and disseminating its results is a nice idea. _x000D_
(ii) The inclusion of materials from the research on data science into existing and new course works is mentioned._x000D_
(iii) The workforce at both graduate and undergraduate level is planned to be developed. The existing framework of CMU promotes the cross-disciplinary activities among students and faculty._x000D_
(iv) Seminar series, workshops will be held along with a plan to host long term visitors._x000D_
(v) A plan for scaling up the activities for phase II is mentioned._x000D_
(vi) The collaboration plan repeats most of the things said already. It does not show a real intention to establish a strong collaboration among the PIs. Actually, there is very little existing collaboration among the PIs._x000D_
(v) The evaluation of the progress of the project activities and curriculum developments is well documented._x000D_
_x000D_
In short, the proposal mentions some of the standard activities expected from an institute of this scale, but not much out of the ordinary._x000D_
_x000D_
_x000D_
_x000D_
Summary Statement_x000D_
_x000D_
This is a good proposal written by well established researchers. It is a little narrow in scope and a little thin on embracing theoretical computer science and mathematics. Actual collaboration among the PIs is that strong which also shows up in somewhat disjointed description of the technical parts._x000D_
_x000D_
</t>
  </si>
  <si>
    <t xml:space="preserve">In the context of the five review elements, please _x000D_
evaluate the strengths and weaknesses of the proposal with respect to intellectual merit._x000D_
_x000D_
The PIs propose an institute CMU IFDS that builds on existing strengths of the Stats, School of CS (CS department and ML department) and the mathematics departments._x000D_
_x000D_
+ CMU has unique strengths in this area on account of their strong focus in ML and AI. In particular, they already have an Machine Learning department within the School of CS (the only one I'm aware of)._x000D_
+ The PIs have an excellent track record of making fundamental contributions in statistics (PIs Wasserman, Tibshirani and Arti Singh), fast combinatorial algorithms (PI Gary Miller).    _x000D_
+ The PIs suggest concrete directions and very specific questions about ten specific topics e.g., Estimating Geometric Structure, Estimating Topological Structure, High-dimensional Prediction etc. It is very likely that they make progress along these lines.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The marginal impact of this institute is likely to be less than the other proposed institutes. Further, it is not clear that funding through the institute is needed to encourage these collaborations.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It is not clear that funding through the institute is needed to encourage these collaborations. _x000D_
_x000D_
_x000D_
_x000D_
In the context of the five review elements, please _x000D_
evaluate the strengths and weaknesses of the proposal with respect to broader impacts._x000D_
_x000D_
+ PI Arti Singh has a strong track record of outreach. _x000D_
_x000D_
- No new initiatives w.r.t. teaching. _x000D_
_x000D_
_x000D_
Please evaluate the strengths and _x000D_
weaknesses of the proposal with respect to any additional solicitation-specific review criteria, if _x000D_
applicable_x000D_
_x000D_
+ They are setting up a Research portal to encourage and facilitate collaborations and disseminating research products. This seems different compared to other proposals.  _x000D_
_x000D_
- Apart from the new journal, there wasn't much in the proposal that suggested they can build up to a large Phase 2 institute._x000D_
_x000D_
- _x000D_
- Regarding distribution between areas, I feel the problems are not very balanced and are mostly of a statistical nature. I feel the algorithmic component of the proposal is weaker (the main algorithmic portion I say was about the proposed collaboration between Tibshirani-Miller-Slovek regarding linear time algorithm). It would have been better if there was more involvement from the CS and math departments._x000D_
_x000D_
Summary Statement_x000D_
_x000D_
The proposal builds on an already existing strong Statistical ML group within the statistics and ML department (between PIs Wasserman, Tibshirani and Singh) who have strong track records in CS. The proposal seems to involve the CS and math departments less, and the proposal seems to be more of supporting their current research interests, as opposed to building a new institute that will involve participation from the wider research community outside CMU._x000D_
_x000D_
</t>
  </si>
  <si>
    <t>1740776</t>
  </si>
  <si>
    <t>Huo</t>
  </si>
  <si>
    <t xml:space="preserve"> Panel Summary       
 _x000D_
_x000D_
Description:_x000D_
_x000D_
The TRIAD proposal aims to create an institute to address massive, dynamic, noisy and complex data. For its first phase, it will host_x000D_
focused working groups, national and international workshops, and organized innovation labs. In the second phase, it will involve undergrads and K-12 students. A postdoc and grad students will be supported, and a professional admin will be employed to carry out the required reporting and outreach. _x000D_
_x000D_
The topics they covered are: _x000D_
- decentralized and scalable inference_x000D_
- Optimization algorithms for inference and learning_x000D_
- Applications are in data science related fields, such as_x000D_
    - Advanced manufacturing._x000D_
    - Learning at the Sensor_x000D_
    - Inferring dynamical properties from biological data._x000D_
_x000D_
_x000D_
Intellectual Merit:_x000D_
Strengths_x000D_
+ The proposed work covers important foundational elements of the data science pipeline. _x000D_
+ They have presented interesting questions of data collections and have the right models. _x000D_
+ They carry out inference from data followed by good optimization ideas. _x000D_
+ The research team has excellent investigators that cover the whole space of the TRIPODS proposal. _x000D_
Weaknesses_x000D_
- The panel found the research plan too high-level and lacking details._x000D_
_x000D_
Broader Impact:_x000D_
Strengths_x000D_
+ The proposal has a good plan about diversity._x000D_
+ They have good collaborations in place and good existing programs. _x000D_
+ The proposal identifies numerous large data-driven companies local to Atlanta with which Georgia Tech has strong relationships, and by implication, with which the PIs can establish collaborations _x000D_
+The proposal lists three explicit application areas - manufacturing, sensor arrays, and dynamic biology, and there are corresponding domain scientists in the 33 person team _x000D_
Weaknesses_x000D_
- No notable weaknesses noted. _x000D_
_x000D_
_x000D_
TRIPODS-specific criteria:_x000D_
Strengths_x000D_
+ It is a very interesting idea to have someone professional work on marketing. _x000D_
+ The connection with industry -- is not well described intrinsically, but it is credible given the campus connection. _x000D_
+  This is one of the more balanced proposal that has a strong institute element along with a strong research component._x000D_
+ It involves excellent people across the three disciplines. _x000D_
+ The innovation labs and think tanks are original, interesting ideas. _x000D_
+ They propose a workshop series in data science and have clear topics lined up for these workshops: randomization and algorithms. _x000D_
+ They have a good plan to expand in future years. _x000D_
+ There are many significant synergistic data science activities, space and administrative personnel at Georgia Tech that the PIs are likely to leverage to make a highly visible, significant institute. _x000D_
Weaknesses_x000D_
- The possible synergies are not specifically described. _x000D_
_x000D_
Collaboration and Evaluation Plan: _x000D_
_x000D_
It has a well thought out collaboration and evaluation plan. They have a plan on how to identify topics in which to solicit proposals in phase II. They will convoke an external advisory board, that will oversee and guide the management and strategic activities. _x000D_
_x000D_
Data Management Plan:_x000D_
_x000D_
There will be software produced which will be open source and made available via github. The publications will be made available via the regular outlet channels. _x000D_
_x000D_
Post-doctoral Mentoring Plan:_x000D_
_x000D_
The postdocs will have scientific and administrative mentors. The first takes responsibility for the technical orientation, the second interfaces with the incumbent to assess progress and provide the metrics needed to advance the project. _x000D_
_x000D_
What is bold, exciting, high risk/reward, or potentially transformative? _x000D_
_x000D_
Several topics are exciting and well described. _x000D_
For example, distributed inference and optimization are very exciting directions that are very important given evolving database architectures. Another original idea is deep learning on how to do algorithms selection -- e.g. can one train a deep network to figure out the right parameters for the algorithms (e.g maxcut, TSP)?_x000D_
_x000D_
Suggestions to PI: _x000D_
_x000D_
If funded, articulate the synergies of the three disciplines better, and pursue it in the programs developed. By having smaller margins (but still within NSF guidelines) _x000D_
and better adjusting headings, would allow for more text  to be included in the proposal_x000D_
_x000D_
Justification for Panel Rating:_x000D_
_x000D_
The proposal builds on a good institutional foundation, it has excellent PIs, and great research topics, though not described in significant detail. It also has a good management and institutional plan. _x000D_
_x000D_
Panel Rating: _x000D_
_ Highly Recommended_x000D_
X_ Recommended_x000D_
_ Not Recommended_x000D_
_x000D_
The summary was read by/to the panel and the panel concurred that the summary accurately reflects the panel discussion._x000D_
 _x000D_
_x000D_
_x000D_
_x000D_
_x000D_
</t>
  </si>
  <si>
    <t>hwarchal</t>
  </si>
  <si>
    <t>This project creates the Transdisciplinary Research Institute for Advancing Data Science (TRIAD) at the Georgia Institute of Technology.  TRIAD aims to integrate research and education in mathematical, statistical, and algorithmic foundations for data science. Analysis of massive, dynamic, noisy, and complex data arising in virtually every sphere of human activity is a pressing challenge of our time, and an area of great importance for its economic and societal impact. TRIAD will address the growing challenges in establishing the foundations of data science, much of which lies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TRIAD hosts focused working groups, national and international workshops, and organized innovation labs. Participants include senior, mid-career, and junior faculty members, postdoctoral fellows, graduate and senior undergraduate students, and data science practitioners at large. All TRIAD activities involve interdisciplinary personnel from the three foundational disciplines. TRIAD deploys information technology and communication infrastructure to quickly and efficiently disseminate its research and activities, while the research community at large can easily access and comment/critique TRIAD's choice of research programs and topics. The institute aims to create an intellectual atmosphere that connects theoreticians and practitioners, scientists, and engineers from across the nation and worldwide on a regular basis._x000D_
_x000D_
TRIAD enriches careers of participants ranging from undergraduate students to senior researchers from around the nation. Postdoctoral fellows and graduate students are introduced to collaborative research in the institute activities and through workshops. TRIAD makes prudent efforts to reach out to diverse communities, including participants from smaller colleges and institutions serving under-represented minorities. TRIAD actively engages in outreach through public lectures, press releases, and dissemination via other internet channels. TRIAD works with associated professional societies to provide stimulus to data-science-related initiatives. Additional activities (such as customized workshops) will combine interactive projects and field trips to acquaint undergraduate and/or high school students from all over the U.S. with data-science-related techniques and the themes of TRIAD's year-long programs. Every effort will be made to make products and lectures available online and to enable remote participation.  Funds for the project come from CISE Computing and Communications Foundations and MPS Division of Mathematical Sciences.</t>
  </si>
  <si>
    <t xml:space="preserve">Proposal ID: CCF 1740776_x000D_
PI: Xiaoming Huo_x000D_
Co-PIs: Srinivas Aluru, Dana J. Randall, Prasad Tetali, C. F. Jeff Wu_x000D_
Institution: Georgia Tech Research Corporation_x000D_
Title:  Transdisciplinary Research Institute for Advancing Data Science (TRIAD)_x000D_
_x000D_
Dear Professors Huo, Aluru, Randall, Tetali, and Wu,_x000D_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_x000D_
On behalf of the TRIPODS Management Team_x000D_
Nandini Kannan_x000D_
Tracy Kimbrel_x000D_
Jack Snoeyink_x000D_
Christopher Stark_x000D_
________________________________x000D_
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V/G, V, and E/V respectively.  Based on the reviews and the panel deliberations, your proposal was placed in the Recommended category.     _x000D_
_x000D_
Topic: This proposal, from the Georgia Institute of Technology, seeks to create TRIAD: the Transdisciplinary Research Institute for Advancing Data Science, an institute that focuses on the integration of research and education in the mathematical, statistical, and algorithmic foundations of data science._x000D_
_x000D_
The proposed research topics include (1) transcribing data with new models and mathematics, (2) new paradigms for decentralized and scalable inference, and (3) efficient strategies with theoretical guarantees for both statistical efficiency and computational complexity.  Center-like activities for Phase I include workshops, innovation labs, short-term visitors, graduate student and post-doc co-supervision and mentoring, development of new courses and a lecture series.  The project will leverage existing data science activities at Georgia Tech through partnerships with the interdisciplinary Research Institute (IRI) for Data Engineering and Science (IDEaS) and the NSF South Big Data Regional Innovation Hub. _x000D_
_x000D_
Intellectual Merit: The reviewers and panel agreed that the research addressed many foundational elements of the data science pipeline.  However, reviewers felt that the description of the research projects was presented at a very high level, and would have liked to see more details about "concrete research challenges and approaches for each of the themes."  The team includes investigators with excellent research records in foundations of data science, extensive interdisciplinary collaborations, and an established track record of training and mentoring.  The proposal also includes plans to engage domain scientists and engineers, and collaboration with local businesses and industry. _x000D_
_x000D_
The panel viewed the topics related to distributed inference and optimization as exciting directions, and appreciated the leveraging of existing data science related infrastructure at Georgia Tech._x000D_
_x000D_
Broader Impacts:  The proposal lays out a detailed plan for cross-disciplinary training of graduate students and postdoctoral fellows, and a structure for joint supervision across academic units on campus.  Curricular innovations include the development of a new data science related machine learning course and an undergraduate course on "Mathematics of Data Science"._x000D_
_x000D_
The panel appreciated the attention to diversity, including the formation of a committee for Program Diversity as part of the TRIAD's organizational structure.  The members of the committee have experience leading diversity and broadening participation initiatives.  The research team has existing collaborations with minority serving institutions, including Agnes Scott, Morehouse and Spelman Colleges._x000D_
_x000D_
Reviewers found the connections to real world data from applications related to manufacturing, sensor arrays and biological networks compelling.  _x000D_
_x000D_
TRIPODS-Specific Criteria:  _x000D_
_x000D_
Reviewers agreed that the proposal presented a well-integrated research and training program and the synergy between the different groups was well-articulated.    _x000D_
_x000D_
The panel found the collaboration and evaluation plan to be "well thought out", including an external advisory board to oversee and guide the management and strategic activities, and plans to solicit topics for potential Phase II activities.  The use of innovation labs and think tanks for community building were original and interesting.  The proposal listed a number of center-like activities for Phase I and a well-developed plan for a potential Phase II institute at Georgia Tech.  The panel agreed that this was one of the "more balanced" projects bringing together "a strong institute element along with a strong research component."_x000D_
_x000D_
Summary and Rationale for Recommendation:  The TRIPODS Management Team agreed that the intellectual merits and broader impacts of the project were excellent.  The research addressed significant foundational data science challenges, with a well-integrated training program.  Given the existing initiatives and infrastructure at Georgia Tech,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</si>
  <si>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 whole spectrum estimation for large covariance matrices is a very intriguing idea._x000D_
_x000D_
+ The data inspire mathematical analysis categories are very well selected. They could be described in more detail, but the choice of keywords and emphases provide some confidence of the directions of research._x000D_
_x000D_
+ the focus on decentralized and scalable statistical inference is a crucial insight in order to accomplish real progress in large and realistic data sets._x000D_
_x000D_
- however, for the topic of distributed inference which is so crucial and challenging we would need some detail as to not just why it is useful û û this reviewer is completely sold û û but what may be the technical directions that may be espoused. For example "software to support reproducibility" how does that connect with the decentralization aim?_x000D_
_x000D_
+ while we also ache for some additional details on the optimization thrust the technical details here are well chosen indicating very clear thoughts about how to progress forward._x000D_
_x000D_
- there appears to be a disconnect between the application areas proposed in the deep learning direction in section 2.4 which appears to be the main application area._x000D_
_x000D_
+ the investigators are top-notch in your area some of them being probably the best in the world to their topics._x000D_
_x000D_
- I am a bit disappointed there is not more detail about these great ideas, and articulation of the connections, the distributed inference one in particular. I am looking at the formatting, and there were ways to get more space perhaps a couple pages more in my experience. Plus some of the planning details could have been relegated to the appendix. _x000D_
_x000D_
_x000D_
In the context of the five review elements, please _x000D_
evaluate the strengths and weaknesses of the proposal with respect to broader impacts._x000D_
_x000D_
- for the topic of its complexity, the "advanced manufacturing" application area is barely sketched._x000D_
_x000D_
+ "learning at the sensor" is an excellent research direction._x000D_
_x000D_
+ the aim of reaching an international audience by use of modern cyber infrastructure is an original idea._x000D_
_x000D_
- the notion of prudent effort of reaching out to diverse communities is a good one if it is what I think it is, but since it is used so often you should probably be better described._x000D_
_x000D_
+ the structure and topic of the workshops are very appealing, and their experience seems to be very strong to carry out such a program of dissemination. Section 3.1+_x000D_
_x000D_
+ the ideas and structure of "innovation labs" is original in terms of its details in connection to existing structures and program of study. Section 3.2_x000D_
_x000D_
- we would have liked some examples of transdisciplinary projects for students, given its focus in the call for proposals would have been good to have some detail. Section 3.4_x000D_
_x000D_
+ reaching out to international audiences is a very compelling thought of this proposed work._x000D_
_x000D_
_x000D_
Please evaluate the strengths and _x000D_
weaknesses of the proposal with respect to any additional solicitation-specific review criteria, if _x000D_
applicable_x000D_
_x000D_
+ the idea of co-supervision of PhD students and postdocs by multiple mentors is, in the experience of this reviewer, one of the best ways to initially create workforce that has versatility in multiple areas. _x000D_
_x000D_
+ The integration of the proposed work with existing sizable efforts on campus, such as the interdisciplinary research Institute for data engineering and science is very promising._x000D_
_x000D_
+ there are decent plans of operations and ramping up in phase 2._x000D_
_x000D_
+ The communication and marketing ideas are quite compelling, having a specialized individual is absolutely warranted for so many technical people involved._x000D_
_x000D_
- Computer science does not appear to be explicitly represented (unless one takes a very theoretical point of view)._x000D_
_x000D_
Summary Statement_x000D_
_x000D_
This is a very strong proposal, with well thought out ideas and   compelling directions of research, in the middle of a campus with strong support for data science with which aims to connect, and with exceptional investigators. Some novel directions would require more detail and the connections between the parts may not be perfect. The computer science angle is barely touched unless one takes a very theoretical point of view, but some of the strong ideas, such as distributed inference, have unmistakable connections. Overall I find the proposal compelling._x000D_
_x000D_
</t>
  </si>
  <si>
    <t xml:space="preserve">In the context of the five review elements, please _x000D_
evaluate the strengths and weaknesses of the proposal with respect to intellectual merit._x000D_
_x000D_
The proposal is for a Data Science institute focusing on_x000D_
1) advanced mathematical modeling for contemporary data_x000D_
2) inferential strategies that are both scalable and decentralized with tradeoffs between computational speed and statistical accuracy_x000D_
3) efficient optimization with theoretical guarantees_x000D_
4) applications in domains leveraging large data_x000D_
_x000D_
The PIs for a very impressive interdisciplinary team of foundational researchers and are already establishing vibrant Data Science activities at Georgia Tech._x000D_
_x000D_
The details of the research topics in 1) - 3) are somewhat vaguely described and it is not clear exactly what the PIs will actually do or how they plan to attack each problem, or whether some of it is already done and waiting to be applied (e.g. STINGER - no reference). The proposal focuses more on the motivation for addressing_x000D_
these problems, but the motivations are already well established and known throughout the communities. This lack of detail does raise some concerns._x000D_
_x000D_
Some of the topics in each of 1)- 3) explicitly overlap (e.g.optimization and distributed computation). That these are not combined illustrates the difficulties of PIs from different fields not necessarily collaborating and identifying shared research topics. _x000D_
_x000D_
The PIs explicitly intend to integrate domain scientists which is a very good sign rather than focusing exclusively on theory and foundations.  Exactly how this integration will occur is not clear from the proposal._x000D_
_x000D_
A Data Science institute will have synergy with several other activities and initiatives at Georgia Tech, including an NSF regional big data hub led by Georgia Tech._x000D_
Collectively, these *may* provide critical mass to make a vibrant community working together each day rather than an institute whose members only meet weekly or less frequently.  There are major plans for the data science academic and industry communities to be colocated starting in 2019._x000D_
_x000D_
There is a some vague hyperbole and bold claims that would benefit from details._x000D_
_x000D_
Overall, more details on the research being proposed would be valuable._x000D_
_x000D_
The proposal wisely borrows planned activities from existing Math &amp; Statistics institutes (e.g. SAMSI) with research labs &amp; working groups and_x000D_
innovation labs explicitly mentioned, short and long-term visitors.  This is important as some other proposals did not explicitly address how the research_x000D_
would be done but assumed it would just happen and researchers from different disciplines would spontaneously collaborate.  The proposal could make how these_x000D_
will function more explicit._x000D_
_x000D_
While somewhat vague, there is reason to believe the groups will work synergistically._x000D_
_x000D_
The proposal focuses on the traditional narrower view of data science, and does not address important issues such as_x000D_
provenance, reproducability, ethics, governance. Unfortunately, the mindset seems to be more traditional Math, Stat, CS._x000D_
_x000D_
_x000D_
In the context of the five review elements, please _x000D_
evaluate the strengths and weaknesses of the proposal with respect to broader impacts._x000D_
_x000D_
Introduce students &amp; postdocs to collaborative, interdisciplinary research._x000D_
Outreach to URMs_x000D_
Workshops_x000D_
Public outreach via lectures, Web portal, etc._x000D_
On-line degree programs that aim to cover topics not usually taught in courses._x000D_
_x000D_
_x000D_
Please evaluate the strengths and _x000D_
weaknesses of the proposal with respect to any additional solicitation-specific review criteria, if _x000D_
applicable_x000D_
_x000D_
a. The program is, for the most part, well integrated across the research topics and training of the students involved._x000D_
_x000D_
b. Yes, the proposal is very much in line with the TRIPODS description and has a foundational focus._x000D_
_x000D_
c. The workforce development seems to be in the research training and developing some data science courses._x000D_
_x000D_
d.  Yes, I believe there will be synergy between the fields._x000D_
_x000D_
e.  The team is very likely to be able to articulate a vision for the foundations of data science, although specifically the traditional areas and less so the broader elements of the pipeline which are not always considered foundational._x000D_
_x000D_
f. Yes, the expertise of the PIs is good and complementary._x000D_
_x000D_
g.  Reasonable plan for integration with domain sciences and industry._x000D_
The proposal mentions manufacturing, sensor arrays and biological data. There are researchers mentioned in the collaboration plan from these areas and so we assume these are the domain scientists._x000D_
_x000D_
h.  The proposal seems reasonable for justifying the investment, but is a little vague. The Phase II plans are more exploratory and aspirational than concrete._x000D_
In Phase II, the PIs plan to extend outreach to K-12 students and teachers._x000D_
_x000D_
i.  The collaboration and evaluation plan includes "progress toward solving the problems posed, development of models or algorithms, data collected, the engagement with end users and stakeholders, relevance to the institute, technical accomplishments and innovation of approaches, publications and presentations, progress toward transition, involvement of students, engagement with other components of TRIAD".  These go beyond the typical, simple-minded number of publications, citations, etc. which is very good._x000D_
In other words, they say what they will measure, along with surveys, etc.  but not what would constitute success._x000D_
They somewhat suggest they will define the definition of success in year 1._x000D_
_x000D_
j.  There will be semi-annual reports from the research groups. And there will be an internal and external advisory board._x000D_
There are several management committees which should monitor the activities._x000D_
_x000D_
_x000D_
Summary Statement_x000D_
_x000D_
The research topics are  interesting and the PI team is excellent._x000D_
There are excellent opportunities for symbiotic/synergistic development of a TRIPODS institute with developing entities at Georgia Tech._x000D_
_x000D_
The description of research plan is a little too high-level, hyperbolic and lacking in details._x000D_
_x000D_
The proposal mentions that Georgia Tech has several indsutrial connections and lists specific companies._x000D_
However, it is not clear from the proposal whether the PIs will be able to meaningfully engage with them,_x000D_
but we can assume they will._x000D_
_x000D_
The applications section (2.4) is encouraging but lists one problem area and then alludes to general problems in sensor arrays._x000D_
The senior personnel includes domain researchers. We are left to assume that these will be engaged in making these application areas a real_x000D_
and meaningful part of the institute's activities as it is not made explicit in the proposal._x000D_
_x000D_
_x000D_
_x000D_
_x000D_
</t>
  </si>
  <si>
    <t xml:space="preserve">In the context of the five review elements, please _x000D_
evaluate the strengths and weaknesses of the proposal with respect to intellectual merit._x000D_
_x000D_
+ The directions are broad considering the four phases/threads in data science: new models for data, inference from data, provable algorithms, and applications to data science. _x000D_
_x000D_
+ The PIs affiliated with the proposal have a very strong track-record, particularly in the context of theoretical foundations of data science. This is especially so, if the 30-odd faculty who will be affiliated with the institute are also included. _x000D_
_x000D_
+ Three workshops each year along the three research themes of focus. The initial ones will be on Randomness in Data Science and Optimization, Optimization Challenges (non-convex, high-dimensions), and in decentralized inference and deep learning. The organizing committees of these workshops consists of experts and leaders in these fields from Georgia Tech.   _x000D_
_x000D_
- The proposal doesn't talk about concrete directions, or grand research challenges where they think progress can be made. Some of the descriptions are vague, especially in section 2.1 (e.g., data inspired random matrix analysis and algorithms). However, these broad directions are timely, and the strong track record of the personnel involved helps. _x000D_
_x000D_
- The proposal doesn't mention which PIs or personnel will be associated with the specific directions mentioned (this would have helped understand the approaches). Also, sections 2.1-2.3 give broad descriptions of these areas, without an indication of why we are likely to make progress on these theoretical fronts._x000D_
_x000D_
In the context of the five review elements, please _x000D_
evaluate the strengths and weaknesses of the proposal with respect to broader impacts._x000D_
_x000D_
+ The proposal has plans to engage undergraduate and K-12 students (especially in Phase 2). _x000D_
+ They plan to work with Georgia Tech online degree programs on graduate courses in data science. Also launching a PhD program in Machine Learning, that should tie in well. _x000D_
+ PI Randall and PI Tetali have a good track record of diversity outreach._x000D_
_x000D_
Please evaluate the strengths and _x000D_
weaknesses of the proposal with respect to any additional solicitation-specific review criteria, if _x000D_
applicable_x000D_
_x000D_
+ The team of PIs and senior personnel affiliated with the institute have strong expertise in all three areas. In fact, the personnel involved are very prominent people covering TCS, optimization, math, statistics and applied data science communities. _x000D_
_x000D_
+ The institute can take advantage of the existing overlap between CS and Applied Math through the ARC program. _x000D_
_x000D_
+ They have a fairly comprehensive Evaluation plan and Collaboration plan._x000D_
_x000D_
+ They have an existing Georgia Tech Institute for Data Engineering and Science (IDEaS), managed by PI Aluru and PI Randall. They plan to use the administrative staff from IDEaS, so that setup is quicker and easier. _x000D_
_x000D_
+ Georgia Tech is investing in a new building (Coda) to house related data science initiatives IDEaS. _x000D_
_x000D_
- On the flip side, there may be more benefit to be gained by a new institute in a university which does not already have such a data science related center._x000D_
_x000D_
Summary Statement_x000D_
_x000D_
The proposal from Georgia Tech aims to create a research institute called TRIAD, and involves a large and diverse teams of PIs and co-PIs. The PIs and personnel associated with the proposal have an excellent track record of working on foundational questions related to data science and ML. They already have infrastructure in place to hit the ground running, and scale up to Phase 2 as well. The proposal would have been even stronger if there were concrete research challenges and approaches for each of the themes._x000D_
_x000D_
</t>
  </si>
  <si>
    <t>The Georgia Institute of Technology proposes to create the Transdisciplinary Research Institute for Advancing Data Science (TRIAD). TRIAD will integrate research and education in mathematical, statistical, and algorithmic foundations for data science. It will initially focus on four threads of research topics: (1) advanced mathematical modeling for contemporary data, (2) new inferential strategies that can be both scalable and de-centralized, (3) efficient optimization tools with theoretical guarantees, and (4) applications in the context of large datasets from domains including biology, design, manufacturing, logistics, and sustainability. TRIAD will have a periodic review of the past, present, and future projects, enabled by its leadership and committees, both internal and external.Analysis of massive, dynamic, noisy and complex data arising in virtually every sphere of human activity is a pressing challenge of our times, and an area of great importance for its economic and societal impact. TRIAD will be particularly well placed to address the growing challenges in establishing the foundations of data science, much of which lie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In Phase I, TRIAD's main mode of operation is in hosting focused working groups, national and international workshops, and organized innovation labs. Participants include senior, mid-career, and junior faculty members, postdoctoral fellows, graduate and senior undergraduate students, and data science practitioners at large. In Phase II, besides strengthening and extending, we will pursue activities that engage undergraduate and K-12 students, as well as K-12 school teachers. All TRIAD activities will involve interdisciplinary personnel from the three foundational disciplines. TRIAD will deploy information technology and communication infrastructure to quickly and efficiently disseminated its research and activities, while the research community at large can easily access and comment/critique TRIAD's choice of research programs and topics. The utilization of contemporary cyber-infrastructure is likely to lead to international impact and collaboration, which further enhance the institute's capabilities. The institute creates an intellectual atmosphere that connects theoreticians, practitioners, and scientists from across the nation and worldwide on a regular basis. Findings resulting from TRIAD's activities will lead to presentations at major conferences and publications in refereed journals.TRIAD will enrich careers of participants ranging from undergraduate students to senior researchers from around the nation in due time. Postdoctoral fellows and graduate students are introduced to collaborative research in the proposed activities and through workshops. TRIAD will make prudent efforts to reach out to diverse communities including participants from smaller colleges and institutions serving under-represented minorities. TRIAD will actively engage in outreach through public lectures, press releases and dissemination via other internet channels. TRIAD will work with associated professional societies, including Association for Computing Machinery,  American Statistical Association, American Mathematics Society, Mathematical Association of America, Society of Industrial and Applied Mathematics, IEEE, and likely others to provide stimulus to data-science-related initiatives. TRIAD will work with the Georgia Tech online degree programs on graduate courses, so that students across the nation can learn about state-of-the-art and interdisciplinary research topics that are not typically covered within traditional campus courses. During Phase II, additional activities (such as customized workshops) will combine interactive projects and field trips to acquaint undergraduate and/or high-school students from all over the US with data-science-related techniques and the themes of the TRIAD's year-long programs. Effort will be made to make products and lectures available online and to enable remote participation.</t>
  </si>
  <si>
    <t>1740779</t>
  </si>
  <si>
    <t>Carbonara</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</si>
  <si>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SUNY Data Science Institute (SUNY-DSI)_x000D_
_x000D_
L: 1740779 Carbonara, Joaquin SUNY Col Buffalo $  285,964_x000D_
N: 1740731 Sperhac, Jeanette SUNY Buffalo $  209,549_x000D_
N: 1740743 Bichindaritz, Isabelle SUNY Oswego $  361,729_x000D_
N: 1740745 Walters, Lisa SUNY Fredonia $  248,472_x000D_
N: 0 12:00:00 AM, Sanjeena SUNY Binghamton $       0_x000D_
_x000D_
_x000D_
P172027 NDP TRIPODS Panel 1, Not Discussed in Panel (G,G,P)_x000D_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</si>
  <si>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project involves activity across several SUNY campuses.  The main_x000D_
focus is on training, specifically training students and training_x000D_
people from business/industry in the established techniques of_x000D_
data science.  There also is a component of original research, but_x000D_
it is less of a focus than in several other proposals.  Furthermore,_x000D_
that research is less focused on the theoretical foundations of_x000D_
data science, and more on solving specific problems._x000D_
_x000D_
The proposal does not give details of specific problems to be worked_x000D_
on, but just described general classes of problems, such as_x000D_
identifying clustering or finding optimal parameters.  The VIDIA_x000D_
Gateway (an online platform which enables users to run a variety_x000D_
of software in their browser) plays a prominent role.  The use of_x000D_
VIDIA is primarily to make use of existing tools, and generally does_x000D_
not constitute the type of research intended for TRIPODS.  Hoewever,_x000D_
it does contribute to the TRIPODS themes of providing a unified_x000D_
curriculum and engaging industry._x000D_
_x000D_
The greatest strength of this proposal is its education component,_x000D_
which also brings together the three themes of math, stat, and CS._x000D_
In some sense, education is too much of a focus, if the plan of_x000D_
tutoring businesses "how to collect, assess, house, and evaluate_x000D_
their existing data" is viewed as education.  The proposal would_x000D_
be stronger if there were more emphasis on engaging business as a_x000D_
resource to better understand the classes of problems on which there_x000D_
is a need for theoretical progress._x000D_
_x000D_
In the context of the five review elements, please _x000D_
evaluate the strengths and weaknesses of the proposal with respect to broader impacts._x000D_
_x000D_
This proposal would have strong broader impacts through significant_x000D_
training of students, and significant transfer of knowledge to_x000D_
businesses, enabling them to make better use of relevant data._x000D_
_x000D_
The proposal clearly describes how the project personnel will_x000D_
contribute to broader impacts through enhancements to VIDIA,_x000D_
and through the development of new courses and masters degree_x000D_
programs._x000D_
_x000D_
_x000D_
_x000D_
Please evaluate the strengths and _x000D_
weaknesses of the proposal with respect to any additional solicitation-specific review criteria, if _x000D_
applicable_x000D_
_x000D_
The proposal describes a "well-integrated research and training_x000D_
program", but the proposed program is heavily slanted toward applying_x000D_
existing knowledge.  A more theoretical basis would strengthen the_x000D_
proposal, although the proposed work will provide strong workforce_x000D_
development._x000D_
_x000D_
The regionally-based work at some SUNY campuses in Phase I_x000D_
would grow into other regions in Phase II.  The most obvious_x000D_
difficulty with this model is that the result would_x000D_
not be of general benefit the wider community, as one might expect_x000D_
from an NSF Institute._x000D_
_x000D_
The evaluation plan, specifically the criteria for success, are not_x000D_
described in sufficient detail.  Phrases employed are "measure how effectively the Institute promotes" and "measure how effectively it encourages organizations to utilize data science", which do not_x000D_
inherently describe how to measure success.  It is described that_x000D_
the ultimate measure of success is published papers, additional,_x000D_
funding, industry support, etc.  Those measure do not say anything_x000D_
about the effectiveness of Phase I to prepare for Phase II._x000D_
_x000D_
_x000D_
_x000D_
Summary Statement_x000D_
_x000D_
This proposal is lacking in various key areas of the TRIPODS_x000D_
solicitation, however it does have strong broader impacts and_x000D_
a strong education/training component._x000D_
_x000D_
The data management plan is adequate, primarily consisting of_x000D_
routine plans to disseminate papers and software._x000D_
_x000D_
</t>
  </si>
  <si>
    <t xml:space="preserve">In the context of the five review elements, please _x000D_
evaluate the strengths and weaknesses of the proposal with respect to intellectual merit._x000D_
_x000D_
This is a joint proposal from 5 different SUNY campuses. The emphasis is on laying out a meticulous plan for the organization of the institute, with a clear goal and mission for the local and global economy and ambitious plans for a Phase II expansion. The proposed research component receives relatively less attention. _x000D_
_x000D_
There are concrete research directions. One of them could be considered as 'meta-research' as it proposes the development of an ontology for data science. The other two are topics that indeed can benefit from the synergy between the communities._x000D_
_x000D_
Strength: +_x000D_
Weakness:  __x000D_
_x000D_
Proposed Research_x000D_
+ The 'meta-research' topic addresses in some way the broad them of developing common concepts and synergies. _x000D_
_x000D_
+ The other two proposed research directions address problems that can enable communication and interaction with the domain sciences._x000D_
_x000D_
- The proposed research receives very little space and attention (about 0.5 page), and while a synergy is possible, it is not described in detail. _x000D_
_x000D_
- I would not consider the proposed topics foundational. _x000D_
_x000D_
+ The proposal is extremely strong in center-like activities that leverage significant preexisting experience and infrastructure._x000D_
_x000D_
_x000D_
_x000D_
In the context of the five review elements, please _x000D_
evaluate the strengths and weaknesses of the proposal with respect to broader impacts._x000D_
_x000D_
+ The proposal is strong in broader impacts, as it encompasses several SUNY campuses, and faculty that includes researchers and teachers at several levels._x000D_
_x000D_
+ There are concrete plans for industry engagement, and the proposal will likely have a good impact in the local economy. _x000D_
_x000D_
+ A positive aspect is the design of new MOOCs, which builds upon previous experience of the senior personnel. This can potentially have a much broader impact in data science._x000D_
_x000D_
Please evaluate the strengths and _x000D_
weaknesses of the proposal with respect to any additional solicitation-specific review criteria, if _x000D_
applicable_x000D_
_x000D_
+ The proposal is very strong in the organizational aspect. The proposal contains very well planned details, a strong assessment plan and clear plans for a Phase II expansion. _x000D_
_x000D_
+ Interesting center-like activities are proposed. _x000D_
+ An advisory board will be formed._x000D_
_x000D_
- The proposal does not make a clear case on how the institute will serve the *foundations* of data science, as opposed to data science in general. Excluding some specific sporadic references to foundations and synergy, the proposal could very well stand as a generic data science institute proposal. Perhaps, only its leadership would indicate such a 'foundational' direction._x000D_
_x000D_
Summary Statement_x000D_
_x000D_
This is a good proposal, with a very strong and detailed plan for a data science institute in the upper NY state area. The focus of the proposal is in the organizational aspects of the Institute, and the proposed actitivies likely justify the amount of requested funding. The proposal gives less details about the proposed research, which might be OK considering that the senior personnel and the broader community at SUNY is clearly well qualified to produce first-rate research. The main negative point and worry is that the proposal has a notably more 'generic' character than one would expect, i.e. the attention to foundational aspects of data science is somewhat limited. However, if the proposal is funded, the advisory board that is included in the proposal will be hopefully able to steer the institute to the 'right' direction, which of course would be a crucial element of success for Phase II. For this reason I am willing to overlook this weakness._x000D_
_x000D_
</t>
  </si>
  <si>
    <t xml:space="preserve">In the context of the five review elements, please _x000D_
evaluate the strengths and weaknesses of the proposal with respect to intellectual merit._x000D_
_x000D_
The proposal is overwhelmingly focused on education._x000D_
_x000D_
The proposal seems to be quite incompatible with the TRIPODS call._x000D_
The institute would be essential virtual, meeting monthly._x000D_
There seems to be very little foundational research._x000D_
The focus is on education, applied problem solving and technology transfer, and industrial outreach._x000D_
These are all very good things.  However, these are far from foundational._x000D_
More importantly, the description of some of the statistical machine learning seems not to be at the highest-level , but seems to misunderstand some fundamental concepts, and also the similarities and overlap between statistics and machine learning.  I worry that the education may be misleading._x000D_
_x000D_
Even the educational aspirations don't appear to focused on developing new pedagogical techniques, but using those of others._x000D_
There is no sense about how research and education would actually evolve._x000D_
_x000D_
The proposal did not do a good job identifying the roles of the different research communities and how they would collaborate synergistically.  Instead, it somewhat indicated a lack of collaboration but a pipeline of passing problems of one community to another._x000D_
_x000D_
The novel center-like activities seem to not to act like a center._x000D_
The interactions will be much less frequent than a center and will be mostly virtual._x000D_
There were very few details in how the activities would actually occur, just simple high-level declarations and aspirations._x000D_
_x000D_
There is very little indication that interesting synergies would occur between the disciplines/communities._x000D_
_x000D_
The PIs developing ontologies which may address the common terminologies and concepts, but the authors did not indicate this was a goal or expected outcome._x000D_
It would build on existing ontologies and add updating and integrative aspects across disciplines. It is not clear that the PIs have the expertise to be able to provide this integration accurately._x000D_
_x000D_
The proposal is overly application-aware or focused for a foundational institute_x000D_
and the applications are not very detailed at the domain-level. Furthermore, there are really only three potential domains - biology, medicine, energy-aware computing for data science._x000D_
_x000D_
The proposal addresses industry engagement as a primary motivation, but does not offer concrete plans of the engagement would actually occur other than via an Advisory board. _x000D_
_x000D_
The proposal aspires to create new courses but does not address conceptual aspects of a curriculum._x000D_
_x000D_
Rather than discussing what the project would do, a lot of the description_x000D_
was focused on justifying the role and promise of data science which was implicit in the TRIPODS call. _x000D_
_x000D_
The VIDIA gateway is a means to simplify basic computing. It is not really a part of the research or something that students would use after graduation. It is merely a means to an end and not necessarily ideal from a pedagogical perspective at the senior-level._x000D_
_x000D_
I understand the difficulties associated with  a multi-campus proposal, especially where the teaching load is high.  However, the proposal is weak and the quality and content of the proposal makes me feel we can't support this proposal._x000D_
_x000D_
In the context of the five review elements, please _x000D_
evaluate the strengths and weaknesses of the proposal with respect to broader impacts._x000D_
_x000D_
The intended broader impacts are new courses, a MOOC certificate, seminars, Web portal for Data Science knowledge, industrial engagement and impact on the economy. Unfortunately, there are few concrete details and I have concerns about the quality._x000D_
_x000D_
_x000D_
Please evaluate the strengths and _x000D_
weaknesses of the proposal with respect to any additional solicitation-specific review criteria, if _x000D_
applicable_x000D_
_x000D_
There proposal does not articulate a strong for either research or training, and certainly not an integrated approach to these._x000D_
_x000D_
The workforce development is weak._x000D_
_x000D_
The project hardly brings theories from any field, let alone connects them across fields._x000D_
_x000D_
There is no vision for identifying a vision for the foundations of data science._x000D_
_x000D_
The collaboration plan is vague and not strong._x000D_
_x000D_
Connections to the domain sciences and industrial partners is a large goal of the proposal. Unfortunately, the details are again very vague and have a significant uncertainty in being realized._x000D_
_x000D_
There are very few details, ideas or even content on plans for Phase II.  The Phase II plan consists of 3 paragraphs. The largest is just a boilerplate description of SUNY's demographics and rankings.  The aim for Phase II is to target_x000D_
other SUNY institutions. But there is no reason to believe this will improve the vision._x000D_
_x000D_
The evaluation plan is poorly displayed, articulated and conceived. Basically it is  aspirational and generic._x000D_
_x000D_
_x000D_
Summary Statement_x000D_
_x000D_
The proposal suggests that the PIs have not understand the requirements of the TRIPODS call, or even basic aspects of the connections between data science, machine learning, and statistics or even some of the basic concepts._x000D_
_x000D_
There are very few actual details of their proposed work, but a lengthy description of a student computing platform (VIDIA) developed at SUNY._x000D_
_x000D_
</t>
  </si>
  <si>
    <t>The SUNY-Data Science Institute project proposes to combine faculty and members from different institutions, disciplines, and roles (researchers, teachers, consultants, and others) to advance transdisciplinary research and training in data science and big data analytics, with a focus on infusing practical applications with data science theory. This institute will promote the development of foundational knowledge, the implementation of novel, effective classroom training techniques, and the incorporation of experiential learning. SUNY is one of the largest U.S. university systems, encompassing 64 campuses, which include research universities, four-year colleges, and community colleges. It is also one of the major economic drivers in the state. The institute will therefore serve as a bridge between academia and industry. Our team includes accomplished scholars and educators from computer science, mathematics, and statistics from five SUNY campuses: Binghamton, Buffalo (UB), Buffalo State (BS), Fredonia, and Oswego. An advisory board including people from industry and academia will oversee the activities of the institute._x000D_
The overall goals of the project are to:_x000D_
1. Create a SUNY Institute for Research and Training in data science serving as a catalyst for defining the scientific infrastructure enabling defining the science of data from experience._x000D_
2. Define and launch the research agenda of the institute to foster the mapping of the theoretical realms of data science to the practical realms of applied science and industry._x000D_
3. Define and launch the educational agenda of the institute through innovative instructional methods and technology._x000D_
4. Define and launch the community sharing and dissemination of methods, tools, and processes to benefit local partners, the local community, NY state, the country, and the world._x000D_
5. Evaluate and improve the institute?s performance at enabling the enrichment and transfer between theory and practice in data science._x000D_
6. Share the unique infrastructure as a model for other parts of the country and the world.This project will launch an institute with the goal of bringing the field of data science to an unprecedented level of scientific maturity. To do so, it will bring together experts in the theoretical disciplines that comprise data science, to provide solutions to the major challenges in application domains from STEM, the medical sciences, and industry. This approach will bridge the gaps created by the divergence of approaches among scientific communities, fostering the emergence of a novel synergistic knowledge framework for data science as it creates a new, common scientific gateway for sharing approaches and solutions. The SUNY Data Science Institute will be a unique transdisciplinary resource to which data science researchers, practitioners, educators, and learners will turn for inspiration, fresh approaches, and answers to their research, practice, pedagogy, and learning questions.The proposed institute will serve as a catalyst for innovations to industry and education in the Upstate New York region, which currently suffers from the migration of the young population to areas with more economic opportunities. The knowledge created by the institute will be shared freely through its data science portal, seminars, conferences and its MOOC-like educational offerings, reaching underrepresented populations in the community. The interdisciplinary nature of the institute will enable its researchers, practitioners, and students to find solutions to challenges in application domains such as medicine and biology. The institute?s activities will be fueled by the specific datasets, resources, goals, and questions of disparate application domains, such as medicine. The resulting transdisciplinary data science concepts, methods, and algorithms will then be applied to improve outcomes in medicine, biology, and other domains. The unique infrastructure and model of this institute can be shared with other regions that face these economic challenges, thus fueling the global economic engine.</t>
  </si>
  <si>
    <t>1740780</t>
  </si>
  <si>
    <t>Michailidis</t>
  </si>
  <si>
    <t xml:space="preserve"> Panel Summary       
  _x000D_
Description: The proposal is to leverage topological data analysis (TDA) to capture higher order structures in data and use them in machine learning framework to enhance the performance in data science. The PIs argue that replacing the traditional vectorization of data with higher order structures has potential to improve the state-of-the-art. A plan for building an institute around this theme is planned under the aegis of the existing facilities of UFII._x000D_
_x000D_
Intellectual Merit: _x000D_
_x000D_
Strengths _x000D_
 + The proposal is in general well written._x000D_
 + The use of topological data analysis in machine learning framework is timely and worthwhile goal. _x000D_
 + Necessary expertise in TDA and machine learning are there. In particular, the persistence landscape, a well known technique in TDA aimed toward fusing it into the machine learning framework was initiated by one of the PIs._x000D_
 _x000D_
Weaknesses _x000D_
 - The proposal does not connect TDA with the machine learning beyond mentioning the use of persistence landscapes. Sections on topological data analysis and the sections on machine learning are somewhat disconnected._x000D_
 - The proposal does not convince the panel that the team includes sufficient expertise in theoretical computer science necessary for achieving the goals._x000D_
_x000D_
Broader Impact:_x000D_
_x000D_
Strengths _x000D_
 + Fusion of TDA and machine learning is a noble goal to broaden the scope of data science._x000D_
 + The existing facilities in UFII can be leveraged to build the institute for data science._x000D_
 + The training and education plan are well though out. _x000D_
_x000D_
Weaknesses _x000D_
 - Building the more specialized TRIPODS institute under the more general existing UFII institute can be viewed as asking more resources for the larger institute._x000D_
_x000D_
_x000D_
TRIPODS-specific criteria:_x000D_
_x000D_
Strengths _x000D_
 + Building the more specialized TRIPODS institute under the existing UF informatics institute has some advantages and also some concerns._x000D_
 + Good plan for workforce development through internships, workshops, weekly meetings._x000D_
 + Good undergraduate training plan._x000D_
 _x000D_
Weaknesses _x000D_
 - The panel was concerned that a more specialized institute within an existing institute, without the addition of theoretical computer science expertise, would serve the aims of the original institute more than it would advance the goals of the TRIPODS program. _x000D_
_x000D_
 - It is doubtful how will it scale for phase II while remaining under the aegis of the larger institute._x000D_
_x000D_
_x000D_
Collaboration and Evaluation Plan: The PIs have come together to put forward the synergistic topic of using TDA into machine learning framework. They plan to collaborate more closely on this topic. A more detailed description about the knowledge transfer between TDA and machine learning at the PI level would be more convincing. The plan for recruiting an independent evaluator for the program is noteworthy._x000D_
_x000D_
Data Management Plan: The plan for maintaining GitHub repository for disseminating the results, data, pictures is appreciated. _x000D_
_x000D_
Post-doctoral Mentoring Plan: A detailed post-doctoral plan is provided._x000D_
_x000D_
What is bold, exciting, high risk/reward, or potentially transformative? The fusion of TDA into the machine learning framework to enhance the scope of data science is seen as a bold and exciting step. However, more details about this synergy is necessary to make the proposed research potentially transformative._x000D_
_x000D_
_x000D_
Justification for Panel Rating: The panel felt that the fusion of TDA with the machine learning framework should have been described more thoroughly and beyond persistence landscape. The proposal did not demonstrate that the team had expertise in theoretical computer science that would be needed to support the project. Some doubts were expressed about how the specialized institute under the aegis of an existing institute would scale up for phase II._x000D_
_x000D_
Panel Rating: _x000D_
_ Highly Recommended _x000D_
_ Recommended _x000D_
X Not Recommended _x000D_
_x000D_
The summary was read by/to the panel and the panel concurred that the summary accurately reflects the panel discussion.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</si>
  <si>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UF Institute for Learning from Higher Structured Data_x000D_
_x000D_
L: 1740780 Michailidis, George University of Florida $ 1,500,000_x000D_
_x000D_
_x000D_
P172027 NR TRIPODS Panel 1, Not Recommended (V/G,V/G,V/G)_x000D_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</si>
  <si>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In this proposal, the PIs consider the problem of enhancing machine learning techniques by using features from topological data analysis. They argue that the traditional machine learning techniques can benefit from using higher order structures in data that may not be readily captured by the vectorization. The primary link between topological data analysis and the machine learning framework will the persistence landscape, a concept initiated by Bubenik, one of the co-PIs._x000D_
_x000D_
This is a noble goal and I think topological data analysis has lot to offer in this direction. The proposal has laid out the basics of both fields nicely with examples and reasoned out legitimately why the two fields will benefit from a synergy. However, this reviewer thinks that more details are necessary to explain how exactly topological features will be used for actual machine learning tasks. By this time, it is well established that the persistence diagrams can be converted to feature vectors by various means as the proposal has already mentioned. These feature vectors can then be used for supervised/unsupervised learning. The proposal does not offer much beyond this basic point._x000D_
_x000D_
The writing of the proposal is uneven and perhaps shows the disconnect between the two components. Section 2.1 lays out the very basic principles of persistent homology and topological data analysis based on that. Then, section 2.2 is supposed to connect these topological concepts into the machine learning framework. But, it was a little disappointing to see that section 2.2 is pretty much an independent exposition on various machine learning optimization issues. Except for the mention that topological feature vectors can be used to facilitate the process, there is hardly any more exposition about this synergy in otherwise quite detailed optimization framework. Then, section 2.3 proposes very superficially to use learning to improve the filtration for persistence, but again the very basic details are missing._x000D_
_x000D_
In general, I liked reading the first part of the proposal, but then the technical parts thinned down. I would have rated it higher if the PIs thought through the problems more thoroughly and presented some early experimental results given that the persistent landscape has been around for a while._x000D_
_x000D_
_x000D_
_x000D_
_x000D_
In the context of the five review elements, please _x000D_
evaluate the strengths and weaknesses of the proposal with respect to broader impacts._x000D_
_x000D_
The main broader impact mentioned is that the fusion of topological data analysis with machine learning techniques will broaden the scope of data science. The higher order structure exploited by topological data analysis will enhance the capabilities of different machine learning framework including deep learning. Training the students, doctoral and post-doctoral participants through various research and collaborative activities in data science will benefit the society by creating future workforce._x000D_
_x000D_
Please evaluate the strengths and _x000D_
weaknesses of the proposal with respect to any additional solicitation-specific review criteria, if _x000D_
applicable_x000D_
_x000D_
(i) The PIs plan to use the facility of the UF Informatic Institute (UFII) to build the TRIPODS institute. Existence of such a facility is certainly a plus._x000D_
(ii) The PIs plan to develop curriculum with courses on various topics of data analytics. These efforts will span multiple departments as required. They will have a strong undergraduate training component by partnering with the groups at UFII. _x000D_
(iii) For workforce development, they propose to have internships program connecting with industry and research labs, annual workshops, and visiting scholar programs. Weekly meetings in the form of a Journal club is a good idea. _x000D_
(iv) For dissemination of results, they will maintain dedicated web-pages and GitHub repositories. They will post the results with pictures, videos, and data._x000D_
(v) There is a well laid out plan for post doctoral management._x000D_
(vi) The PIs plan to collaborate on the project. There is no current collaboration among the PIs. The collaboration plan does not provide detail about the knowledge transfer needed between the TDA and machine learning at the PI level. There is a clear timeline mentioned to carry out the activities._x000D_
(v) It is mentioned that the activities will be scaled up for phase II_x000D_
(vi) The PIs plan to recruit an individual tasked with evaluating the program activities on regular basis._x000D_
_x000D_
_x000D_
_x000D_
Summary Statement_x000D_
_x000D_
This is a reasonable proposal but short in innovative details. The collaboration among the PIs at the technical level is not detailed. I would rank it as not a very high, but a reasonable proposal._x000D_
_x000D_
</t>
  </si>
  <si>
    <t xml:space="preserve">In the context of the five review elements, please _x000D_
evaluate the strengths and weaknesses of the proposal with respect to intellectual merit._x000D_
_x000D_
The proposal is on discovering and analyzing structure in high dimensional data by discovering association structures from the datasets themselves, then combining those with vector space representations of the data, and finally using machine learning techniques to discover underlying topological structures. The PIs' goal is to preserve higher order structures within the date through their representation so that relationships that are not obvious using other representations are available to the learning algorithms. Various forms of these have been used separately by CS, mathematics, and statistics, but the PIs would like to bring them together to form a synergy that will lead to more effective analysis. Among other things, the PIs want to combine topological data analysis with supervised learning, improving the outcome of the learning process. _x000D_
There is already an institute at UF called the UF Informatics Institute, that aims to develop and nurture core and applied informatics techniques, founded by PI Michailidis. The PIs would like to establish a TRIPODS institute that will follow a similar trajectory in the area of DS, which will operate within the UFII. The PIs propose establishing a graduate DS concentration 6 courses, as well as recruiting and training undergraduates for projects, as well as mentoring them. They will have lab rotations, a a weekly journal club (a forum for students/postdocs where they discuss and present research), annual workshops, a student-run seminar, an internship program, and a visiting scholar program._x000D_
The proposal identifies research areas and topics, and outlines the approaches to these problems. The roles of individuals and/or disciplines are reasonably clear. The role and the activities of the center, along with its relationship with its parent center, UFII are clearly explained. The interaction between the communities involved is explained; it sounds feasible and useful for this type of research. (The group might benefit from a TCS person though.) The work will explore common themes between the disciplines and develop a joint approach. The suggested techniques and their marriage seems like a good direction to follow that takes into account the emergent high dimensional data paradigm. It is not entirely clear how application-aware the research will be, but it seems like it is especially suited for certain domains. As a corollary, I'm not sure what the Industry engagement will be, however, the special relationship with UFII will certainly help there. The DS concentration will be helpful in unifying their curricula, and, again UFII will be helpful there._x000D_
_x000D_
The new center operating within an existing, more general center which is already established in many activities that it performs makes it easier and more risk-free to succeed, as well as more efficient in its use of resources. However, it brings the novelty and usefulness of the new center into question: just how different is it from the "parent" center, and, more importantly, what can we expect from Phase II? For Phase II to be feasible, it seems there needs to be a clear differentiation from the existing center, and perhaps a separation. This process is not really explained. Given the lack of a distinct TCS component from the proposal, it seems like it may fall within the scope of the greater center rather than a more specialized, theoretical one for Phase II._x000D_
_x000D_
_x000D_
_x000D_
_x000D_
In the context of the five review elements, please _x000D_
evaluate the strengths and weaknesses of the proposal with respect to broader impacts._x000D_
_x000D_
The proposal promises various training/knowledge/internship opportunities for students and postdocs of various levels. It leverages itself on the tried and true methods of the existing center, which, though removes the risk factor, might be more of the same, merged with existing programs. I found the statement of this impact reasonably strong, but, again, this is because this project in some sense relies upon the experience of a prior project._x000D_
_x000D_
The scientific broader impact is left vague, which is not unusual for a theoretical/mathematical proposal._x000D_
_x000D_
_x000D_
Please evaluate the strengths and _x000D_
weaknesses of the proposal with respect to any additional solicitation-specific review criteria, if _x000D_
applicable_x000D_
_x000D_
The research and training program is well integrated, with roles fairly clearly defined, even though it could benefit from more TCS expertise. The research directions presented are appropriately multidisciplinary, and would provide a unifying theme for the group. The educational and training acitivities are not novel (I don't think this is a requirement for this type of activity), but seems to be well thought out, with a good track record by the existing center. There is vision in terms of the research proposed here; regarding general vision I am a bit less enthusiastic as there's a feeling of this endeavor being a subsidiary of the greater UFII project. The personnel are complementary, though a bona fide TCS person would improve the team significantly. The collaboration plan with domain sciences and industry relies heavily on UFII, which makes it less risky, but also less interesting. The evaluation plan is well defined._x000D_
_x000D_
_x000D_
_x000D_
_x000D_
Summary Statement_x000D_
_x000D_
This is a well written and well thought out proposal, but this is partially because it borrows heavily from an existing project. It seems like this is priming UFII for Stage II, and it would help to distinguish the proposed center from the rest of UFII for this stage._x000D_
_x000D_
Also, it would be good to see more of a TCS flavor in the proposal, given the nature of the TRIPODS program._x000D_
_x000D_
</t>
  </si>
  <si>
    <t xml:space="preserve">In the context of the five review elements, please _x000D_
evaluate the strengths and weaknesses of the proposal with respect to intellectual merit._x000D_
_x000D_
+ concrete research plan has been proposed: using TDA (topological data analysis) tools for representation of high-dimensional data_x000D_
_x000D_
+ intersting extension of current machine learning task based on the TDA summaries_x000D_
_x000D_
- novelty in question given an extensive TDA literature _x000D_
_x000D_
-not enough technical advances; extensions seems relatively straightforward_x000D_
_x000D_
In the context of the five review elements, please _x000D_
evaluate the strengths and weaknesses of the proposal with respect to broader impacts._x000D_
_x000D_
+ the propose tools can be applied to general domain areas thus can be beneficial to many areas thus the society _x000D_
+has a clear education plan _x000D_
_x000D_
_x000D_
_x000D_
Please evaluate the strengths and _x000D_
weaknesses of the proposal with respect to any additional solicitation-specific review criteria, if _x000D_
applicable_x000D_
_x000D_
_x000D_
_x000D_
Summary Statement_x000D_
_x000D_
The proposal proposes to advance the foundation of data science by adopting new lower-dimensional feature representations beyond the standard vector (Euclidean) representation that is commonly used in the statistics/machine literature. In essence, the proposal proposes to leverage tools from Topological Data Analysis for representation for the  lower-dimensional structure of the potentially high-dimensional data. Some of the key novelties includes extending the supervised learning algorithms such as regularized or penalized methods based on the topological summaries.  Some further strengths and weakness can be summarized below. _x000D_
_x000D_
Strengths _x000D_
_x000D_
+Provides a clear research theme by using topological representation for lower-dimensional structure inherent the higher-dimensional data_x000D_
_x000D_
+extend the tools of machine learning (e.g., supervised learning) based on the topological framework._x000D_
_x000D_
+ the teams has top expertise in TDA (e.g., Peter Bubenik)_x000D_
weaknesses _x000D_
_x000D_
_x000D_
-There are some doubts about whether 'enough' foundational advances have been proposed or made beyond the current literature of TDA (topological data analysis). While the idea of extending some of the machine tasks based on the TDA framework is nice, it is not clear whether there is substantial advances here. TDA has been extensively applied in many domain areas, the advantage or weaknesses of the TDA are somewhat clear to the literature. Not sure whether the PIs have contributed significantly new materials here. _x000D_
_x000D_
-_x000D_
_x000D_
_x000D_
Weankensses_x000D_
_x000D_
</t>
  </si>
  <si>
    <t>This project brings together a strong interdisciplinary team from computer science, mathematics and statistics to study and advance the current state of the art in data science. All three communities have made impressive advances in developing methods and the associated algorithms and computational tools for data analysis (supervised and unsupervised) tasks. However, each community has approached the problem to a large extent from its own intellectual foundations. Nevertheless, there have been many successes and a solid body of methods and tools -leveraging the popular feature vector representation of the underlying data-  are available to practitioners for addressing their data driven scientific and business problems. Some key themes that many approaches share are that of the presence of structure that reduces the dimensionality of the underlying learning task and facilitates the estimation of key model parameters from limited amounts of data. The most prominent structural assumptions have been the presence of sparsity or low dimensional structure, motivated primarily by data sets in the biological and life sciences. However, many modern application data sets exhibit more complex and nuanced structure. The proposed TRIPODS Institute aims to develop methods and associated computational tools that leverage recent developments in topological data analysis, and structured machine and statistical learning for learning higher order structure from data by holistically modeling the entire analytic pipeline. The end goal is to couple ideas and techniques from the fields of computer science, mathematics and statistics for developing an integrative methodology for data science. In parallel, the Institute through a number of outreach activities aims to train a new generation of data scientists that embrace this holistic methodology and leverage it to address important scientific data driven applications.We will develop a data analysis processing pipeline that converges three closely related research thrusts_x000D_
.Firstly, using recent advances in topological data analysis and especially the novel concept of persistent landscape, we will learn higher order associations from complex data. Secondly, these associations will guide the structure of a novel norm that will be used as a regularizer in a number of canonical learning tasks, including regression/classification based predictive modeling, graphical modeling, clustering and dimension reduction procedures. Finally, we combine the key components of the proposed persistent landscapes with deep learning architectures to address complex classification tasks, as a first step in bypassing the classical feature vector representation of the data. These research tasks will lead to a new body of methods that would provide deeper insights into the role of higher order associations in machine learning and data mining. Special emphasis will be placed on scalable algorithms and on inference/stability of the obtained model parameters. The methodology will be extensively tested and illustrated on data from a number of scientific domains that the research team has extensively worked on, including biomedical and life sciences, social and sensor networks, text and image analytics.This project will train a diverse category of students in the three pillars ?computer science, mathematics and statistics- of data science. Research outcomes will be disseminated through the journal/conference publications, conference presentations, software and webinars. More importantly, the Institute will develop capacity for outreach activities including (i) offering a graduate concentration and a certificate in data science that incorporates the proposed research outcomes, (ii) annual workshops focusing on both methods and applications of the developed techniques and tools, (iii) a visiting scholars program, (iv) journal club, undergraduate and graduate mini projects that leverage the proposed technical approach and (v) an internship program.</t>
  </si>
  <si>
    <t>1740790</t>
  </si>
  <si>
    <t>Mitran</t>
  </si>
  <si>
    <t>Dear Professor Mitran,_x000D_
_x000D_
I regret to inform you that the NSF proposal CCF 1740790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DMS 1740790 _x000D_
Title: Geometric and topological data Science Institute (GTDSI) _x000D_
PI: Sorin Mitran, Vladimir Jojic, James S. Marron, Alexander Tropsha, Paul Vos_x000D_
Institution: University of North Carolina at Chapel Hill_x000D_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The project presented in this proposal  is a partnership between the University of North Carolina (UNC), the Renaissance Computing Institute (RENCI), and the Statistical and Applied Mathematical Sciences Institute (SAMSI).  The proposed institute would aim to bring researchers from computer science, mathematics, and statistics together with domain problems and experts from the  applied physical sciences, medicine, and pharmacy._x000D_
_x000D_
Broader impacts described in the project summary include new courses and educational opportunities for students in fields affected by the widening reach of data acquisition._x000D_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G, F, and F._x000D_
_x000D_
After seeing the submitted reviews, the panelists agreed that the reviews adequately described the relative strengths and weaknesses of the proposal.  This proposal was part of a group that was not selected for in-depth discussion by the panel and placed in the "Not Discussed in Panel" category without production of a panel summary._x000D_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t>
  </si>
  <si>
    <t xml:space="preserve">In the context of the five review elements, please _x000D_
evaluate the strengths and weaknesses of the proposal with respect to intellectual merit._x000D_
_x000D_
The project seeks to understand and develop the mathematics to reason about deep learning and related ideas. This is an important research goal. Some interesting ideas were presented, such as trying to estimate the true number of parameters of a multilayer deep net, and information theoretic modeling using KL expansion (which is said to be analogous to backpropagation in deep learning). Interesting applications were suggested to chemistry and biochemistry, including an intriguing proposal to develop an analog of a GAN (Generative Adversarial Net) for molecule synthesis. _x000D_
_x000D_
There were hints of something interesting here, but ultimately the ideas are sketchy. For example, the proposal suggests a simple experiment in the middle of p 4 about PCA of gradients. Why not do it within a day and learn from it to further develop the theory? _x000D_
_x000D_
This sketchiness was the main weakness. _x000D_
_x000D_
_x000D_
_x000D_
In the context of the five review elements, please _x000D_
evaluate the strengths and weaknesses of the proposal with respect to broader impacts._x000D_
_x000D_
The applications to other domains, especially chemistry, seem genuine and may be potentially high impact. The proposed GTDSI institute would be a good addition to the Data Science infrastructure in the research triangle area. _x000D_
_x000D_
Plans were described for training and mentoring and outreach at various levels; though nothing out of ordinary for this pool of proposals._x000D_
_x000D_
Please evaluate the strengths and _x000D_
weaknesses of the proposal with respect to any additional solicitation-specific review criteria, if _x000D_
applicable_x000D_
_x000D_
The strength is that it seems a genuine attempt for mathematicians to wrestle with the mysteries of deep learning, and there is an interdisciplinary component._x000D_
_x000D_
The weaknesses: (1) it didn't involve the  three legs of the tripod (theoretical CS, math, stat) in any interesting way. In fact it is odd that the team didn't reach out to the rich set of colleages in the triangle area (2) the quality of writing, and the concrete plans for the center were not as stellar as the average proposal in this pool_x000D_
_x000D_
Summary Statement_x000D_
_x000D_
A proposal with a few interesting ideas but many weaknesses._x000D_
_x000D_
</t>
  </si>
  <si>
    <t xml:space="preserve">In the context of the five review elements, please _x000D_
evaluate the strengths and weaknesses of the proposal with respect to intellectual merit._x000D_
_x000D_
The proposal focuses on the geometric theory of neural networks, with ties to computational chemistry and biology.  Given the theoretical nature of the work, it's nice to see the ties to these application areas, and the ties are strongly motivated and integrated into the work.  The specific problems proposed are:_x000D_
- considering intrinsic degrees of freedom in neural networks (Joic, Marron)_x000D_
- information-theoretic stochastic model reduction (Mitran, Vos)_x000D_
- geometric data science methods in chemistry and biology (Trophsa)_x000D_
_x000D_
In the context of the five review elements, please _x000D_
evaluate the strengths and weaknesses of the proposal with respect to broader impacts._x000D_
_x000D_
Broader impacts of this proposal focus on training underrepresented populations, however the details of how such populations will be recruited and supported are not provided.  Other plans include curriculum development and dissemination outside of traditional avenues including rural populations._x000D_
_x000D_
Please evaluate the strengths and _x000D_
weaknesses of the proposal with respect to any additional solicitation-specific review criteria, if _x000D_
applicable_x000D_
_x000D_
Unfortunately, while the individual aspects of the research proposed are interesting, it's not clear that the Co-PIs will be truly collaborating, and the proposal is lacking in a cohesive vision for the institute._x000D_
_x000D_
Summary Statement_x000D_
_x000D_
While this would make for an interesting regular proposal, it doesn't give enough cohesive vision and clear record of collaboration for TRIPODS._x000D_
_x000D_
</t>
  </si>
  <si>
    <t xml:space="preserve">In the context of the five review elements, please _x000D_
evaluate the strengths and weaknesses of the proposal with respect to intellectual merit._x000D_
_x000D_
This proposal is centered around the Geometric and topological data Science Institute (GTDSI), an institute to be launched through a partnership between the University of North Carolina (UNC), the Renaissance Computing Institute (RENCI) and the Statistical and Applied Mathematical Sciences Institute (SAMSI).  The PIs consist of four researchers from UNC (from Mathematics, Computer Science, Biostatistics, Chemical Biology and Medical Chemistry) and one researcher from East North Carolina University (ECU) Biostatistics Department.  The proposed research includes three areas: intrinsic degrees of freedom, information-theoretic stochastic model reduction, and geometric data science methods in chemistry and biology, each with detailed explanation on the proposed approached plus an indication of which PI in the team will lead the task.  _x000D_
_x000D_
As for center like activities, the team indicates a plan for an annual 3-5 day workshop with input from the national academic community, businesses, and other research institutes. It also intends to start a biweekly colloquium series.  Collaborations with other organizations in the areas, such as RENCI and SAMSI, will be sought to leverage the resources of the Research Triangle.  _x000D_
_x000D_
In addition, training efforts will be devoted with (1) a summer REU program for undergraduate students, and (2) data science related training for Ph.D. students in Math/Stat/CS as well as areas of domain sciences._x000D_
_x000D_
The proposed research is in the central area of data science. It does involve researchers from the three communities, although statistics is replaced by biostatistics here. The center like activities and training activities are also reasonable._x000D_
_x000D_
_x000D_
_x000D_
In the context of the five review elements, please _x000D_
evaluate the strengths and weaknesses of the proposal with respect to broader impacts._x000D_
_x000D_
The proposal talks about integration of research and education, dissemination of data science methods in rural areas with more underserved populations. These all sounds good, although I would like to note that North Carolina State as a whole, has received plenty of funding support from the federal government._x000D_
_x000D_
_x000D_
_x000D_
_x000D_
Please evaluate the strengths and _x000D_
weaknesses of the proposal with respect to any additional solicitation-specific review criteria, if _x000D_
applicable_x000D_
_x000D_
The proposal did mostly well.  A few things that I would like to see are:_x000D_
Participation from more faculty within UNC, beyond just four PIs. _x000D_
a good plan for capacity development for potential Phase II operation._x000D_
_x000D_
_x000D_
_x000D_
Summary Statement_x000D_
_x000D_
Overall a reasonable proposal, with good strength in the proposed research and the ability to leverage the strengths in the region.   That said, there are a few minor issues that bother me._x000D_
_x000D_
(1)  Paul Vos of ECU is listed as a co-PI.  Why is there a letter of collaboration from him?_x000D_
(2) There are two letters of collaboration from Stanley Ahalt of RENCI, one short and one long, both signed on the same day._x000D_
(3) The status of GTDSI is not clearly explained.  It was not clear to me whether it has been launched and when it will be launched. It is entirely under UNC, or is really a partnership with SMASI and RENCI?_x000D_
_x000D_
_x000D_
_x000D_
_x000D_
</t>
  </si>
  <si>
    <t>GTDSI is a partnership between the University of North Carolina (UNC), the Renaissance Computing Institute (RENCI) and the Statistical and Applied Mathematical Sciences Institute (SAMSI). GTDSI coalesces personnel with interests in foundational principles of data science from the UNC Mathematics, Statistics and Operations Research, Computer Science, and Biostatistics Departments along with domain experts from the recently formed Department of Applied Physical Sciences as well as from Schools of Medicine and Pharmacy. A defining feature of GTDSI is convergence of theoretical concepts within data science toward realistic applications throughout the diverse disciplines.The primary mission of the GTDSI is to establish a rigorous foundation for data science at the nexus of geometry and topology with probability and information theory. This approach is chosen for the fundamental nature of these concepts in characterizing any type of data including temporal data. In support of this mission, the Institute will: (1) carry out fundamental research on geometric and topological concepts within data science, (2) implement such theoretical frameworks for data science into practical algorithms that make use of advanced computational capabilities, (3) interact with researchers to apply resulting algorithms on problems from the physical, biomedical, and social sciences thus enabling data-driven discovery.Furthermore, GTDSI will (4) enhance the development of workforce capabilities in data science through educational activities at the undergraduate, graduate, and post-graduate levels._x000D_
_x000D_
Through participating institution partnership, GTDSI will establish a framework for collaboration, distance learning and outreach that can be extended throughout the South Atlantic region and beyond. With support from the participating UNC departments, new courses will be developed in the foundations of data science and courses in fields undergoing transformation by the advent of data acquisition will be revised to expose students to respective theoretical frameworks. This experience will be openly shared with any interested parties, and widely disseminated. RENCI expertise and resources will enable real-world testing of theoretical frameworks for data science through advanced computational and collaboration capabilities. The impact of core research from GTDSI on theoretical foundations of data science will be enhanced by SAMSI applied research programs and outreach activities.</t>
  </si>
  <si>
    <t>1740796</t>
  </si>
  <si>
    <t>Scheinberg</t>
  </si>
  <si>
    <t xml:space="preserve"> Panel Summary       
 Description: _x000D_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_x000D_
The three main problems the PIs propose to investigate are: _x000D_
_x000D_
(i) Understanding the effect of the optimization methods used for training to the generalization capacity of the trained model (optimum found) in the general setting of non-convex optimization. _x000D_
_x000D_
(ii) Going beyond first-order methods, such as [S]GD, and utilizing curvature information in the training of deep neural networks. _x000D_
_x000D_
(iii) Turning the choice of activation function from a hyper parameter to something that is [also] learned from the data (non-parametric). _x000D_
_x000D_
Strengths _x000D_
+ The research proposed is central to building theoretical foundations of data science, especially (i). It uses sophisticated ideas from mathematics and aims at rigorous mathematical results, i.e., theorems._x000D_
+ The Lehigh PIs form an excellent optimization team and have a track record of effective collaboration. _x000D_
+ The PIs are qualified to direct and participate in the research program and to develop the educational aspects. _x000D_
+ The proposal is very well written and the problems are presented in a thoughtful manner, inspiring additional confidence in the PIs expertise. _x000D_
_x000D_
Weaknesses _x000D_
- There is some concern regarding the absence of a theoretical computer scientist from the team. _x000D_
- The statistics part of the proposal, part (iii) above, is not as strong as parts (i,ii). Given that Deep Nets already have millions of parameters (often more than labelled examples) do we really need to also learn the activation functions? Wouldn't that introduce the need for another regularization component? Could it be that this idea is a better fit for models with fewer parameters instead of deep nets?_x000D_
_x000D_
Broader Impact: _x000D_
Strengths _x000D_
+ The PIs already have a track record of releasing sophisticated software, a key outcome of data science research._x000D_
+ The idea of starting with a WebEx course for alumni, followed by a short course, followed by an executive course is credible and ingenious. _x000D_
+ New courses will be developed for data science based on the research in this proposal _x000D_
+ The collaboration plans with industrial partners are clear and strong._x000D_
Weaknesses _x000D_
- The Ph.D curricular development plans are relatively weak._x000D_
_x000D_
TRIPODS-specific criteria: _x000D_
Strengths _x000D_
+ The proposal is spot on the broad themes of the Tripods program, while focused on two very important pieces: deep neural nets and optimization._x000D_
+ The expertise of the PIs is complementary and well-suited to the research and training programs developed in this project._x000D_
Weaknesses _x000D_
- Plans of operations and how to move to Phase 2 are quite generic in terms of how the institute would work. Some panelists would have liked to see more discussion of Phase 2 plans, while others felt that the implied plan was to merge with another successful Phase 1 program for Phase 2. _x000D_
_x000D_
Postdoctoral Mentoring Plan:_x000D_
Adequate, but could use improvement/detail. _x000D_
_x000D_
Collaboration and Evaluation Plan: _x000D_
The collaboration plan is nicely detailed, reflecting the existence of an already good collaboration. The evaluation plan is rather generic and does not much address daily activities of the center._x000D_
_x000D_
Data Management Plan: _x000D_
Could be better. Having to contact the PIs to secure access to data/code is cumbersome and somewhat disappointing. The panel would have preferred to see a more open-access oriented policy._x000D_
_x000D_
Suggestions to PI: _x000D_
Strengthen the statistical part of the proposal, perhaps by moving this part away from Deep Nets, focusing on simpler models. _x000D_
_x000D_
Justification for Panel Rating: _x000D_
The focus of the proposed research on fundamental issues, e.g., the effect of optimization algorithms in generalization, combined with the great strength of the PIs on optimization and their thoughtfulness on Deep Nets, makes this an excellent proposal. The statistical part is not as convincing and could be integrated better. _x000D_
_x000D_
Panel Rating: _x000D_
_ Highly Recommended _x000D_
X Recommended _x000D_
_ Not Recommended _x000D_
_x000D_
The summary was read by/to the panel and the panel concurred that the summary accurately reflects the panel discussion. 
</t>
  </si>
  <si>
    <t>This Phase I project forms an NSF TRIPODS Institute, based at Lehigh University and in collaboration with Stony Brook and Northwestern Universities, with a focus on new advances in tools for machine learning applications.  A critical component for machine learning is mathematical optimization, where one uses historical data to train tools for making future predictions and decisions.  Traditionally, optimization techniques for machine learning have focused on simplified models and algorithms.  However, recent revolutionary leaps in the successes of machine learning tools---e.g., for image and speech recognition---have in many cases been made possible by a shift toward using more complicated techniques, often involving deep neural networks.  Continued advances in the use of such techniques require combined efforts between statisticians, computer scientists, and applied mathematicians to develop more sophisticated models and algorithms along with more comprehensive theoretical guarantees that support their use. In addition to its research goals, the institute trains Ph.D. students and postdoctoral fellows in statistics, computer science, and applied mathematics,  and hosts interdisciplinary workshops and Winter/Summer schools.  _x000D_
_x000D_
The research efforts in Phase I are on the analysis of nonconvex machine learning models, the design of optimization algorithms for training them, and on the development of nonparametric models and associated algorithms.  The focus is on deep neural networks (DNNs), mostly in general, but also with respect to specific architectures of interest.  The institute's research efforts emphasize the need to develop connections between state-of-the-art approaches for training DNNs and statistical performance guarantees (e.g., on generalization errors), which are currently not well understood. Optimization algorithms development centers on second-order-derivative-type techniques, including (Hessian-free) Newton, quasi-Newton, Gauss-Newton, and their limited memory variants.  Recent advances have been made in the design of such methods; the PIs' work builds upon these efforts with their broad expertise in the design and implementation (including in parallel and distributed computing environments) of such methods.  The development of nonparametric models promises to free machine learning approaches from restrictions imposed by large numbers of user-defined parameters (e.g., defining a network structure or learning rate of an optimization algorithm).  Such models could lead to great advances in machine learning, and the institute's work in this area also draws on the PIs expertise in derivative-free optimization methods, which are needed for training in nonparametric settings._x000D_
_x000D_
In this TRIPODS institute, the PIs approach all of these research directions with a unified perspective in the three disciplines of statistics, computer science, and applied mathematics.  Indeed, as machine learning draws so heavily from these areas, future progress requires close collaborations between optimization experts, learning theorists, and statisticians---communities of researchers that, as yet, have tended to operate separately with differing terminology and publication venues.  With an emphasis on deep learning, this institute aims to foster intercollegiate and interdisciplinary collaborations that overcome these hindrances._x000D_
_x000D_
This award reflects NSF's statutory mission and has been deemed worthy of support through evaluation using the Foundation's intellectual merit and broader impacts review criteria.</t>
  </si>
  <si>
    <t xml:space="preserve">L: 1740796 Scheinberg, Katya   Lehigh University _x000D_
N: 1740735 Liu, Han   Northwestern University _x000D_
N: 1740762 Orabona, Francesco    SUNY Stony Brook _x000D_
_x000D_
Congratulations! I am delighted that your proposal submitted to the Transdisciplinary Research in Principles of Data Science Phase I solicitation has received an award. This will be a three-year standard award in the total amount of $1,484,152.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L: 1740796 Scheinberg, Katya Lehigh University $  895,670_x000D_
N: 1740735 Liu, Han Princeton University $  300,000_x000D_
N: 1740762 Orabona, Francesco SUNY Stony Brook $  288,482_x000D_
P172027 R TRIPODS Panel 1, Recommended (V,V,V/G)_x000D_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To these I would add that it is good to have a center at a smaller institution like Lehigh,_x000D_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budgeted._x000D_
_x000D_
CONTINUING GRANT, _x000D_
Requested duration: 36 months, starting 01/01/2018_x000D_
L: 1740796 Scheinberg, Katya Lehigh University,  total  $895,670_x000D_
N: 1740735 Liu, Han Northwestern,  total  $300,000_x000D_
N: 1740762 Orabona, Francesco SUNY Stony Brook, total  $288,482_x000D_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</si>
  <si>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Collaborative Research:  TRIPODS Institute for Optimization and Learning_x000D_
_x000D_
L: 1740796 Scheinberg, Katya    Lehigh University $  895,670_x000D_
N: 1740735 Liu, Han    Northwestern University $  300,000_x000D_
N: 1740762 Orabona, Francesco    SUNY Stony Brook $  288,482_x000D_
_x000D_
_x000D_
P172027 R TRIPODS Panel 1, Recommended (V,V,V/G)_x000D_
Std competition rank 3 of 30 rated projects: 2 HR, 8 R, 11 NR, 9 NDP, on 5/17/2017_x000D_
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_x000D_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_x000D_
To these I would add that it is good to have a center at a smaller institution like Lehigh,_x000D_
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Non-lead PI Han Liu is moving from Princeton to Northwestern.  Please see diary notes under 1740735 for a signed cover sheet, budget, and justification from Northwestern, and acceptance of the pre-award transfer from Princeton as the original submitting organization. _x000D_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below._x000D_
_x000D_
Snoeyink, Jack S._x000D_
Cognizant Program Director  _x000D_
For the TRIPODS Team: N. Kannan, T. Kimbrel, J. Snoeyink, C. Stark_x000D_
Friday, July 7, 2017_x000D_
_x000D_
 _x000D_
_x000D_
CONTINUING GRANT, _x000B_Requested duration: 36 months, starting 01/01/2018_x000D_
_x000D_
L: 1740796 Scheinberg, Katya Lehigh University,  total  $895,670_x000D_
FY 17	$150,257    CCF:  05010000   PEC: 041Y    PRC: 062Z 9102  PD: Snoeyink_x000D_
FY 17	$150,258    DMS: 03040000   PEC: 041Y    PRC: 062Z 9102  PD: Stark_x000D_
_x000D_
FY 18	$148,648    CCF:  05010000   PEC: 041Y    PRC: 062Z 9102_x000D_
FY 18	$148,648    DMS: 03040000   PEC: 041Y    PRC: 062Z 9102_x000D_
_x000D_
FY 19	$148,930    CCF:  05010000   PEC: 041Y    PRC: 062Z 9102_x000D_
FY 19	$148,929    DMS: 03040000   PEC: 041Y    PRC: 062Z 9102_x000D_
_x000D_
_x000D_
N: 1740735 Liu, Han Northwestern University,  total  $300,000_x000B__x000D_
FY 17	$45,539 	CCF:  05010000   PEC: 041Y    PRC: 062Z   PD: Snoeyink_x000D_
FY 17	$45,538 	DMS: 03040000   PEC: 041Y    PRC: 062Z   PD: Stark_x000D_
		_x000D_
FY 18	$52,819	CCF:  05010000   PEC: 041Y    PRC: 062Z_x000D_
FY 18	$52,819	DMS: 03040000   PEC: 041Y    PRC: 062Z_x000D_
		_x000D_
FY 19	$51,643 	CCF:  05010000   PEC: 041Y    PRC: 062Z_x000D_
FY 19	$51,642 	DMS: 03040000   PEC: 041Y    PRC: 062Z_x000D_
_x000D_
_x000D_
N: 1740762 Orabona, Francesco SUNY Stony Brook, total  $288,482_x000B__x000D_
FY 17	$46,821    CCF:  05010000   PEC: 041Y    PRC: 062Z   PD: Snoeyink_x000D_
FY 17	$46,820    DMS: 03040000   PEC: 041Y    PRC: 062Z   PD: Stark_x000D_
_x000D_
FY 18	$48,115    CCF:  05010000   PEC: 041Y    PRC: 062Z_x000D_
FY 18	$48,116    DMS: 03040000   PEC: 041Y    PRC: 062Z_x000D_
_x000D_
FY 19	$49,305    CCF:  05010000   PEC: 041Y    PRC: 062Z_x000D_
FY 19	$49,305    DMS: 03040000   PEC: 041Y    PRC: 062Z</t>
  </si>
  <si>
    <t xml:space="preserve">In the context of the five review elements, please _x000D_
evaluate the strengths and weaknesses of the proposal with respect to intellectual merit._x000D_
_x000D_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 _x000D_
_x000D_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 The proposed work on non-parametric extensions of deep discriminative models is also interesting but less fundamental._x000D_
_x000D_
In the context of the five review elements, please _x000D_
evaluate the strengths and weaknesses of the proposal with respect to broader impacts._x000D_
_x000D_
I subscribe to the PIs point of view that better understanding of and improved approaches for training DNNs is a vital area that will have interesting questions and important ramifications for years to come. In that sense, the broader impacts are rather self-evident. I also liked the proposal to release code that will make it easier for researchers to experiment with different training algorithms for neural nets, since existing frameworks focus on 'getting results fast', as opposed to offering flexibility._x000D_
_x000D_
Please evaluate the strengths and _x000D_
weaknesses of the proposal with respect to any additional solicitation-specific review criteria, if _x000D_
applicable_x000D_
_x000D_
A weakness of the proposal is that there is not much statistical content in regard to the first two research topics. On the other hand, given how far removed DNNs are from classical statistics, this is not surprising._x000D_
_x000D_
Summary Statement_x000D_
_x000D_
This was the 2nd best proposal I reviewed._x000D_
_x000D_
</t>
  </si>
  <si>
    <t xml:space="preserve">In the context of the five review elements, please _x000D_
evaluate the strengths and weaknesses of the proposal with respect to intellectual merit._x000D_
_x000D_
+ the research topics are clearly and crisply articulated._x000D_
_x000D_
- perhaps I am nitpicking but the term "small deep neural network" appears to be an antinomy. (Figure 1)_x000D_
_x000D_
+ topic one: tuning of the learning rate is interesting in the case of non-though it would have been useful to mention a couple technical ways that the investigators see that possible_x000D_
_x000D_
- we are a bit unclear how to interpret figure 2._x000D_
_x000D_
+ Extensions of momentum SGD to non-convex and stochastic optimization is an interesting area building on interesting recent work of the investigators._x000D_
_x000D_
+ On the issue of "the time and effort spent tuning out algorithmic parameters should be counted as the part of the computational time" the investigator hit on a very interesting practical issue; while it would have been good to be more explicit about the model of stochastic behavior of the algorithm achieving good metrics of performance is clearly a very important issue. _x000D_
_x000D_
+ several of the ideas proposed in the quasi-Newton section are very interesting such as understanding the interplay between batch size and non-convexity., Or combining self-correcting approaches with multi-batched approaches._x000D_
_x000D_
- at the first read however the batch sizes appear too large to be practical at least for some of the ranges discussed._x000D_
_x000D_
+ the need to escape saddle points or at least to accelerate around them is a very tangible reason for using Hessian free methods (which at a first read I found puzzling to consider)_x000D_
_x000D_
+ analyzing the "random subspace approximation of the Hessian" and understanding its effect on convergence is a very intriguing and original research direction._x000D_
_x000D_
+  Topic of "nonparametric extension for deep learning" is conceptually very intriguing._x000D_
_x000D_
- I'm a bit concerned about how to do nonparametric model fitting with derivative free optimization. It is known that the latter can take a large number of function evaluations for large dimensional spaces; so the question is how many parameters one ends up using. For example, if one chooses a nearest neighbor model and only the neighborhood size is a parameter this is very suitable, but it is unclear whether data would work for representing what the author's intent for deep network. We are lacking here but a discussion of the number of parameters remaining  In the representations that need to be tuned -- the dimension of the optimization problem. _x000D_
_x000D_
+ Otherwise, indeed, black box optimization if it works would be a really major advance in the area. _x000D_
_x000D_
+ excellent and enthusiastic PIs. _x000D_
_x000D_
_x000D_
In the context of the five review elements, please _x000D_
evaluate the strengths and weaknesses of the proposal with respect to broader impacts._x000D_
_x000D_
+ new courses will be developed for data science based on the research in this proposal_x000D_
_x000D_
+ there are collaboration plans with major industrial partners therefore it is very likely that the research will make it into very tangible products_x000D_
_x000D_
- the plans on how to do that though are quite generic_x000D_
_x000D_
_x000D_
Please evaluate the strengths and _x000D_
weaknesses of the proposal with respect to any additional solicitation-specific review criteria, if _x000D_
applicable_x000D_
_x000D_
+ the proposed work shows credible connections to industry partners; importantly the principal investigators has existing relationships with some of them._x000D_
_x000D_
+ the proposed pathway of starting with a WebEx course to alumni, followed by a short course, followed by an executive course as a way to raise additional funds is credible,  tangible, and ingenious._x000D_
_x000D_
+ the specific plans to release open source code in addition to the investigator prior experience in doing so is an important fulfillment of the aims of the TRIPODS program_x000D_
_x000D_
- plans of operations and how to move to phase 2 are quite generic in terms of how the Institute would work._x000D_
_x000D_
- We do not get a philosophy about how information would be generated or how brainstorming would occur._x000D_
_x000D_
+ the metrics of progress are perhaps standard but also well thought out and tangible (even if a bit too summary)_x000D_
_x000D_
_x000D_
Summary Statement_x000D_
_x000D_
this is a solid proposal, with some great research ideas, and tangible connections to industrial partners. On the other hand, the operation plans are sketchy, and the broader impacts a bit generic other than the software distribution side which is very strong (and in which the authors have a strong history too). Some of the technical directions are unclear or underwhelming, but some of the initial results appeared to be very promising. The computer science angle is a bit subdued, except for the complexity of machine learning and perhaps optimization algorithms (the latter of which is arguably an applied math activity). _x000D_
_x000D_
_x000D_
</t>
  </si>
  <si>
    <t xml:space="preserve">In the context of the five review elements, please _x000D_
evaluate the strengths and weaknesses of the proposal with respect to intellectual merit._x000D_
_x000D_
In the context of the five review elements, please _x000D_
evaluate the strengths and weaknesses of the proposal with respect to intellectual merit._x000D_
_x000D_
The PIs of this proposal plan to constitute an institute for optimization and learning. The institute will be housed at the Lehigh university with collaborations from two co-PIs one each from Stony Brook and Princeton university._x000D_
_x000D_
The PIs propose to address three main problems in machine learning and deep learning while exploring their interplay with optimizations. The three problems, they want to investigate are: (i) Understanding the connection between optimization (during training) and the generalization (performance of the model with test data) under nonconvex optimizations (ii) Utilizing the curvature information for training deep neural networks, and (iii) non-parametric extensions of the deep learning. These problems, if addressed properly, will make transformative changes in the current state-of-the-art for machine learning, and data science in general._x000D_
_x000D_
The proposal has been written very well. Each problem has been explained with proper background, existing techniques, and the proposed work. It shows that the PIs have thought through the issues, have consulted current methodologies and their shortcomings. In some cases, they also have some preliminary approaches with some experimental evidence. They have the necessary background in optimizations and statistical theories. It is almost a perfect proposal for a TRIPODS institute except the fact that the team does not involve any theoretical computer scientist. To address the fundamental questions that the PIs raise, one needs someone who is an expert in algorithm design and analysis. I would have given it higher ranking if this deficiency were not there._x000D_
_x000D_
_x000D_
_x000D_
_x000D_
_x000D_
In the context of the five review elements, please _x000D_
evaluate the strengths and weaknesses of the proposal with respect to broader impacts._x000D_
_x000D_
The broader impact mentioned are:_x000D_
(i) Collaborations among the PIs and students supported by the institute will fertilize cross-disciplinary activities._x000D_
(ii) The research mainly aims to enhance the current capability of deep learning network and thus enhances the data science in general._x000D_
(iii) The existing optimization and machine learning group activities in terms of training and research will be enhanced by the institute_x000D_
(iv) Open source codes will be maintained for software developed as a part of the project.The results will be disseminated by publications at standard venues for optimization and machine learning._x000D_
_x000D_
_x000D_
Please evaluate the strengths and _x000D_
weaknesses of the proposal with respect to any additional solicitation-specific review criteria, if _x000D_
applicable_x000D_
_x000D_
This proposal is collaborative across three institutions. Most of the activities are described centering around Lehigh University where the proposed TRIPODS institute will be housed. The proposal mentions necessary activities for creating an institute on optimization and learning._x000D_
(i) It will leverage the existing group OptML at Lehigh for educating and training graduate students. _x000D_
(ii) The collaboration among the PIs for both research and training has been detailed nicely. _x000D_
(iii) The open source code that the PIs plan to disseminate is a worthy goal. The connections to industries will be helpful in this regard for data acquisition and validation._x000D_
(iv) There is a plan for supporting post-doctoral fellows_x000D_
(v) There are letters of collaborations from industries_x000D_
(vi) The PIs have already started collaborations through the activities of the OptML group._x000D_
(vii) Workshops,seminar series,summer/winter schools are proposed._x000D_
(viii) There is some evaluation plan though not anything extraordinary. A short paragraph mentions about the scaling up to the Phase II institute._x000D_
_x000D_
If successful, this project has the potential to influence the current data science state-of-the-art in a big way._x000D_
_x000D_
_x000D_
Summary Statement_x000D_
_x000D_
This is a well thought-through, focused, nicely written proposal. The PIs have the background to carry out the research though an addition of a theoretical computer scientist in the team would make it more appropriate for the task._x000D_
_x000D_
</t>
  </si>
  <si>
    <t>We propose to form a TRIPODS institute, based at Lehigh University, in collaboration with Princeton University and Stony Brook University with initial research focus on new techniques and theoretical foundations for complex machine learning models, such as deep neural networks. Deep neural networks have advanced the state of the art in many important applications, such as speech recognition, machine translation and image classification and are currently in the center of much theoretical and practical research in the fields of  mathematics, statistics and computer science. Nevertheless, theoretical foundations of deep learning are largely underdeveloped. In particular, the connection between the best algorithmic approaches to train deep learning models and their performance guarantees are not well understood. While effort has been made to improve performance of current algorithms, these models are still sometime extremely difficult to train and it is unclear when the best solutions is reached. In addition, the predictive performance resulting from the current neural network models and the training algorithms is strongly dependent on many user specified parameters which are difficult to choose. _x000D_
At our proposed institute we plan to approach these issues with a unified perspective of three disciplines. _x000D_
Specifically, one of the obstacles to further progress in the field is that such progress requires close collaborations between optimization experts, learning experts and statisticians, yet these three communities tend to have different terminology and publication venues. Hence, our proposed collaborative institute will focus to foster exactly such type of collaboration with focus on deep learning. _x000D_
_x000D_
This proposal brings together three PIs from Lehigh, who have been working in the area of optimization and machine learning for years and established a research group at Lehigh and well as PI Liu from Princeton university, who is an expert in statistical learning and PI Orabona from Stony Brook University, who is a theoretical computer scientist working in learning theory. Aside from the research goals, the institute will serve as a center for training of  PhD students and postdoctoral fellows in all three disciplines, as well as for holding interdisciplinary workshops and summer/winter schools.The methods and theory that will be developed at the institute will  advance the state-of-the-art of deep learning models, _x000D_
however, the results are likely to be sufficiently broad to be applicable to many other complex learning models, and other complex problems with uncertainly in the data. We expect advances in 1) generalization properties of deep neural networks, 2) efficient and reliable optimization methods for training such networks and 3) novel nonparametric deep learning models. Specifically, we will build on the expertise of PI Orabona in learning guarantees for online and other optimization methods, and PIs Curtis and Scheinberg in stochastic optimization and second order methods for nonconvex problems, PI Takac's expertise in algorithms for large scale optimization and distributed computations as well as PI Liu's expertise in nonparametric machine learning models. This collaboration will produce new algorithms, models and theory, which will combine the latest methodologies from three different fields, hence are bound to have better properties than the stat-of-the-art algorithms, models and theory.The broader impacts of the proposed work will be novel theoretical contributions at the intersection between learning, optimization and statistics, which will aid in promoting cross-fertilization between these research communities. In particular we will train PhD students to become experts in all these disciplines  be able to communicate effectively across the communities. We will also disseminate our interdisciplinary research_x000D_
in traditional machine learning, optimization and statistics venues.   In addition we intend to develop an executive course on foundations of Data Sciences, targeting audience with technical background but without formal training in this new field.</t>
  </si>
  <si>
    <t>1740797</t>
  </si>
  <si>
    <t>Embree</t>
  </si>
  <si>
    <t xml:space="preserve"> Panel Summary       
  _x000D_
Description: _x000D_
The proposal will create an institute for Data Science at Virginia Tech. The unifying research theme for this proposal is scalability, with attention to theory, algorithms, and simulation. The plans for outreach, education and assessment are strong. _x000D_
_x000D_
Intellectual Merit: _x000D_
_x000D_
Strengths _x000D_
+ The proposed research addresses applications, dynamic aspects of data and fairness/privacy._x000D_
+ The team of PIs is strong and qualified to perform the proposed research. _x000D_
_x000D_
Weaknesses _x000D_
- The proposal lacks a particularly novel and compelling research problem or direction._x000D_
- The proposal devotes very little space for each proposed topic, and does not specify a clear and meaningful methodological approach for any of the proposed problems. _x000D_
- There is no concrete example explaining or illustrating the synergy among the three communities. _x000D_
_x000D_
Broader Impact: _x000D_
_x000D_
Strengths _x000D_
+ The proposal is strong in education activities that build upon Virginia Tech's existing undergraduate major in computational modeling and data analytics and other local activities. _x000D_
+ The plans for curated multi-scale data sets, software and tutorials can have a broader impact. _x000D_
+ Part of the proposed research has an applied focus. _x000D_
_x000D_
Weaknesses _x000D_
- Relatively weak plans for industry engagement. _x000D_
_x000D_
TRIPODS-specific criteria: _x000D_
_x000D_
Strengths_x000D_
+ The organization of the institute is well thought-out and carefully planned. _x000D_
+ Very good center-like activities._x000D_
+ Adequate assessment activities. _x000D_
+ Interaction with domain sciences is good. _x000D_
_x000D_
_x000D_
Weaknesses _x000D_
- Lack of a vision for data science and a broader mission for the institute. _x000D_
- Interaction with industry is limited._x000D_
- The plan for interaction and collaboration does not contain a concrete example of synergy among the communities. _x000D_
_x000D_
Collaboration and Evaluation Plan: The proposal contains a clear and adequate collaboration plan. The evaluation plan is strong. _x000D_
_x000D_
Data Management Plan: _x000D_
The data management plan, including plans for public dissemination, is satisfactory.  _x000D_
_x000D_
What is bold, exciting, high risk/reward, or potentially transformative? _x000D_
The panel did not identify a research direction which was particularly bold and exciting, or potentially transformative.  _x000D_
_x000D_
Suggestions to PI: _x000D_
The proposal would have been stronger if you had discussed some of your research topics in more detail: explain why they are significant or transformative, put them in context with other research and propose concrete and synergistic approaches. _x000D_
_x000D_
Justification for Panel Rating:_x000D_
_x000D_
The project description does not provide a clearly described methodological approach for any of the research topics, thus casting doubts on the intellectual merit of the proposal. The panel did not identify a proposed research direction which was particularly bold and exciting, or potentially transformative._x000D_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</si>
  <si>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Institute for Data, Models, and Algorithms Across Scales_x000D_
_x000D_
L: 1740797 Embree, Mark VA Polytechnic Inst &amp; St U $ 1,498,424_x000D_
_x000D_
_x000D_
P172027 NR TRIPODS Panel 1, Not Recommended (V,V/G,P)_x000D_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</si>
  <si>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 could not see how this proposal promotes fundamental research and training in the theoretical foundations of data science. It reads like a laundry list of problems in Data Science, old and new, with no vision connecting them. (Scalability is certainly not a suitable ævision' idea as it does not offer something actionable/substantive. Imagine if someone proposed it in biology: life exists at all scales, from viruses to whales. OK. Then what? In contrast, the fact that the recipes for life at all these scales is written in exactly the same way, i.e., in DNA, is truly amazing.) Another thing about the proposal is that the research is divided by year, i.e., in year 1 we will deal with these problems, in year 2 with these (very different) problems, etc. Given that many of the problems discussed are old chestnuts, there is no reason to believe that significant progress will be made in any of them within one year. I completely failed to see the motivation for this. In any case, even though the authors list over 10 different research problems/areas and give motivating examples for each, I did not find a single new idea in the proposal, or even a suggestion of methodological approach. This is the main problem._x000D_
_x000D_
In the context of the five review elements, please _x000D_
evaluate the strengths and weaknesses of the proposal with respect to broader impacts._x000D_
_x000D_
Many of the problems listed have immediate, significant broader impact. The proposal, though, offers no evidence that the PIs are in a position to make progress on them. This is much less an issue of track record and more of the proposal's lack of concreteness._x000D_
_x000D_
Please evaluate the strengths and _x000D_
weaknesses of the proposal with respect to any additional solicitation-specific review criteria, if _x000D_
applicable_x000D_
_x000D_
While the proposal does a very good job at following the æletter' of the call, it does not offer any ideas on the æspirit', i.e., integrating mathematics, statistics, and theoretical computer science._x000D_
_x000D_
Summary Statement_x000D_
_x000D_
This was the weakest proposal I evaluated out of seven._x000D_
_x000D_
</t>
  </si>
  <si>
    <t xml:space="preserve">In the context of the five review elements, please _x000D_
evaluate the strengths and weaknesses of the proposal with respect to intellectual merit._x000D_
_x000D_
The unifying research theme for this proposal is scalability, with attention to theory, algorithms, and simulation.  This is an important and timely perspective for a research institute in data science.  The three year schedule includes a progression of yearly themes based on three important data types: matrix and tensor, network, and metric space.  The main application focus areas are epidemiology and public-health policy planning, accelerometers in a smart building, and remote sensing and build on existing collaborations with data providers and industry partners.  Va Tech has well-established structures for research and training collaborations amongst Mathematics, Computer Science, and Statistics and seeks to build on these._x000D_
_x000D_
_x000D_
In the context of the five review elements, please _x000D_
evaluate the strengths and weaknesses of the proposal with respect to broader impacts._x000D_
_x000D_
The proposal outlines a set of broader reach components that build on Va Tech's ongoing success with their transdisciplinary undergraduate major in Computional Modeling and Data Analytics, the Urban Computing NSF NRT program, and the university-wide Data Analytics and Decision Sciences destination area.  Beyond the usual workshops, visitors, and lecture series, strengths of this proposal include the design of the Summer Institute, the plans to make curated multiscale data sets, software/algorithms, and tutorials available to the public, the development of a graduate curriculum in data science, and K-12 outreach.  The mentorship plans for graduate and undergraduate research students are also particularly strong._x000D_
_x000D_
_x000D_
Please evaluate the strengths and _x000D_
weaknesses of the proposal with respect to any additional solicitation-specific review criteria, if _x000D_
applicable_x000D_
_x000D_
This proposal combines the broad themes of common terminologies and concepts, application-aware foundational research, industry engagement, unifying curricula, reproducibility, and dynamic aspects of data in a cohesive and well-structured program.  Building on existing data science initiatives at Va Tech, this proposal lays out a strong case for their ability to form a high-functioning (TRIPODS) data science institute.  The plans for public outreach, foundational and practical graduate education, and assessment are particularly strong._x000D_
_x000D_
_x000D_
Summary Statement_x000D_
_x000D_
This is strong proposal with a thoughtful and far-reaching design.  Va Tech has an established data science infrastructure and a history of success in this area.  They are well-positioned to establish an efficient and high-functioning (TRIPODS) institute.  I place this proposal in the top third of those I've reviewed._x000D_
_x000D_
_x000D_
</t>
  </si>
  <si>
    <t xml:space="preserve">In the context of the five review elements, please _x000D_
evaluate the strengths and weaknesses of the proposal with respect to intellectual merit._x000D_
_x000D_
Strength: +_x000D_
Weakness: - _x000D_
_x000D_
The proposal specifies three general research directions, one per year of the institute. Several more specific topics are identified under each direction.  _x000D_
_x000D_
+ The proposed research includes several foundational topics. _x000D_
+ They collectively address application-aware research, dynamic aspects of data and end-to-end provenance, fairness, privacy. _x000D_
_x000D_
- The list of topics is very long. In most cases the description of a topic reads like a standard first few introductory paragraphs from a research paper, thus conveying very little information. Moreover,  the description is often too vague and general (e.g. one of the several examples across the proposal): _x000D_
_x000D_
"We will exploit the interplay of distances, probability distributions, statistical models, and algorithms to design scalable solutions to data storage, retrieval, and analysis problems"_x000D_
_x000D_
- The proposed research contains passing references to potential for synergy, but a concrete example of a synergy is missing. _x000D_
_x000D_
- While common concepts and terminologies will emerge from the proposed activities, a few more targeted ideas concerning this 'barrier' would have been good. _x000D_
_x000D_
+ The PIs are well-qualified to perform the proposed work. _x000D_
_x000D_
+ The proposal is very strong in center-like activities._x000D_
_x000D_
In the context of the five review elements, please _x000D_
evaluate the strengths and weaknesses of the proposal with respect to broader impacts._x000D_
_x000D_
+ Besides the standard broader impact expected from an NSF proposal of this size, the Institute's clear organizational's plan and the very well-planned activities will likely have a significant broader impact. _x000D_
_x000D_
- Plans for industry engagement are not very strong._x000D_
_x000D_
Please evaluate the strengths and _x000D_
weaknesses of the proposal with respect to any additional solicitation-specific review criteria, if _x000D_
applicable_x000D_
_x000D_
+ The proposal includes very concrete and interesting plans for the Institute's organization, schedule and types of activities, and assessment. Such level of preparation indicates that the Institute will be a serious contender for Phase II. In this respect the proposal was the strongest among those I reviewed._x000D_
_x000D_
- I would have expected the articulation of a clear vision about data science, which I think is missing from this proposal (unlike other proposals I read). If the proposal is funded, the leadership of the institute should craft such a vision, as a 'cornerstone' of the institute. _x000D_
_x000D_
- The mission "of transdisciplinary research and education for the integration of data, models, and algorithms both at scale and across scales" is adequate, but one could imagine a somewhat broader view of the mission and place of the institute in the local economy and the data science enterprise. _x000D_
_x000D_
_x000D_
_x000D_
_x000D_
_x000D_
Summary Statement_x000D_
_x000D_
The proposal is strong, in most respects. _x000D_
_x000D_
The intellectual merit is strong but not excellent, due to the lack of focus in concrete topics exemplifying the synergy among the communities. _x000D_
_x000D_
The preparation for center-like activities is very good, but the description of a vision about data science, and of a broader mission for the institute would have been desirable._x000D_
_x000D_
</t>
  </si>
  <si>
    <t>In scientific and engineering applications such as epidemiology, social network modeling, satellite navigation, intelligent infrastructure, and genome science, the recent explosion of data has exceeded the capabilities of current models and algorithms, thereby making scalability one of the most pressing challenges facing modern data science. To tackle this challenge, a collaborative team of faculty from theoretical computer science, mathematics, and statistics proposes to create the Institute for Data, Models, and Algorithms Across Scales, with the core mission of transdisciplinary research and education for the integration of data, models, and algorithms both at scale and across scales. The research, education, and outreach activities will focus on building infrastructure that can be expanded for a Phase II TRIPODS institute proposal.The core research program will focus on three main challenges: (1) the theoretical characterization and understanding of scalability; (2) the development of scalable algorithms that incorporate accuracy, efficiency, data volume, velocity, and veracity; (3) the development of a theory of, and tools for, simulation analytics with dynamical data (multiscale in space and time) that can identify rare/important events, facilitate visualization, and inform decision making. The Institute draws together a diverse and collegial group of faculty (including nine computer scientists, six mathematicians, and five statisticians) to address these challenges and connect them to data intensive applications available from Virginia Tech partners. Examples include epidemiology and public-health policy planning, accelerometers in a smart building, and remote sensing.The Institute will serve the community through carefully curated multiscale data sets, algorithms and software, and measures for evaluation. Annual activities will include thematic Summer Institute workshops, short term visitors, a lecture series, and combined research and educational activities for regular Institute participants, especially graduate students. The three thematic years will be built around three types of scalable data: matrix and tensor; network; and metric space. The Institute will prioritize efforts to recruit a diverse cohort of participants to these activities. The Institute will develop a broad graduate curriculum in the theoretical foundations of data science that builds upon successful, ongoing pedagogical collaborations among Computer Science, Mathematics, and Statistics at Virginia Tech, including the undergraduate Computational Modeling and Data Analytics major, the Urban Computing NSF NRT program, and the university-wide Data Analytics and Decision Sciences destination area. This program will incorporate practical skills, including transdisciplinary communication, data wrangling, algorithm design, and implementation at scale, as well as data visualization. The fruits of this curriculum development will be shared with the broader data science community. To help develop the next generation of data scientists, the Institute will also reach out to the K-12 population through two outreach activities.</t>
  </si>
  <si>
    <t>1740799</t>
  </si>
  <si>
    <t>Vidal</t>
  </si>
  <si>
    <t xml:space="preserve"> Panel Summary       
 _x000D_
Description:_x000D_
This proposal would create the MINDS institute at Johns Hopkins._x000D_
Activities would include a seminar series and annual symposium_x000D_
and summer school.  Curricular efforts include the creation_x000D_
of an undergraduate minor and a Masters program.  Phase II would_x000D_
expand to include a PhD program.  Several research projects are_x000D_
described._x000D_
Intellectual Merit:_x000D_
Strengths_x000D_
+ The proposers have access to biomedical data and connections to_x000D_
medical researchers/practitioners._x000D_
+ The educational aspects of the proposal are well thought-out and_x000D_
well described: a data science undergraduate minor and a Masters_x000D_
data science degree would be created.  Such programs are admirable,_x000D_
but not quite potentially transformative._x000D_
+ The PIs appear to be qualified to direct and participate in the_x000D_
research program and to develop the educational aspects._x000D_
Weaknesses_x000D_
- The research topics are described superficially, with few details_x000D_
or any clear indication of what is innovative._x000D_
- The relationship between topics was not well described._x000D_
- The theoretical CS component was weaker than the math and stat_x000D_
contributions._x000D_
_x000D_
Broader Impact:_x000D_
Strengths_x000D_
+ The infrastructure of education would be significantly enhanced, with_x000D_
the creation of new degrees, and the potential to export the undergraduate_x000D_
data minor to other institutions, provided that the developed material_x000D_
was made widely available._x000D_
+ The potential biomedical applications could have significant benefits._x000D_
Weaknesses_x000D_
- See below_x000D_
_x000D_
TRIPODS-specific criteria:_x000D_
Strengths_x000D_
+ The proposal described an integrated research and training program,_x000D_
involving a variety of activities such as seminars, symposia, and workshops._x000D_
+ The proposers collectively cover the TRIPODS areas, and have described_x000D_
a viable approach to collaboration._x000D_
Weaknesses_x000D_
- The Phase II expansion would be confined to JHU, limiting the benefits_x000D_
for the wider community._x000D_
- The evaluation plan is inadequate, failing to address the process of_x000D_
running an institute.  The measures of success are generic and do not_x000D_
appear reflective of the TRIPODS requirements._x000D_
_x000D_
Collaboration and Evaluation Plan:_x000D_
The annual symposium will provide collaboration opportunities_x000D_
with other projects.  The evaluation plan is inadequate,_x000D_
failing to address the process of running an institute, and_x000D_
only providing a general description of items to be measured,_x000D_
with few specifics about how such measurements would be accomplished._x000D_
_x000D_
Data Management Plan:_x000D_
Adequate, but would be better if documents (such as material for_x000D_
the data science minor) were made available in source format_x000D_
instead of just PDF._x000D_
_x000D_
Suggestions to PI:_x000D_
The proposal might have been stronger if the research component_x000D_
considered fewer topics, but covered each in more depth._x000D_
_x000D_
Justification for Panel Rating:_x000D_
The lack of detail and cohesion of the proposed research projects,_x000D_
and the confinement of the activity to JHU, were significant factors_x000D_
in determining the panel rating._x000D_
_x000D_
Panel Rating:_x000D_
_ Highly Recommended_x000D_
_ Recommended_x000D_
X Not Recommended_x000D_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</si>
  <si>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would create the MINDS institute at Johns Hopkins._x000D_
Activities of the institute would include a monthly seminar series,_x000D_
an annual symposium, and an annual summer school and workshop._x000D_
Curriculum enhancements would include the creation of an undergraduate_x000D_
minor and a masters program in data science.  The theme of the_x000D_
institute would be topics solidly within the TRIPODS regime,_x000D_
combining math, stat, and CS._x000D_
_x000D_
A half-dozen different projects are envisioned.  A weakness of the_x000D_
proposal is that lack of a clear description of the order in which_x000D_
these would be undertaken.  Clearly, if is not feasible to undertake_x000D_
them all immediately, so how would a plan be determined?  A timeline_x000D_
would be helpful (not necessarily in the simplistic form of a table,_x000D_
but perhaps some indication in the narrative for why it makes sense_x000D_
to work on topic A before topic B)._x000D_
_x000D_
The proposal contains contributions from a the three areas of math,_x000D_
stat, and CS, but the proposal was not particularly convincing that_x000D_
the people in those areas would genuinely be working together and_x000D_
learning from each other, as opposed to handling complementary_x000D_
parts of a larger project._x000D_
_x000D_
In the context of the five review elements, please _x000D_
evaluate the strengths and weaknesses of the proposal with respect to broader impacts._x000D_
_x000D_
The project will train students, and in particular will lead to the_x000D_
development of a Data Science undergraduate math minor.  This could_x000D_
be of significant benefit to society, particularly if the resources_x000D_
for teaching those courses became widely available._x000D_
_x000D_
Note that the current plan of distributing those resources as PDF_x000D_
will limit their usefulness, and it is difficult to adapt/modify_x000D_
such material.  Also, having those resources spread across several_x000D_
departmental servers dilutes the impact.  If the proposers develop_x000D_
material for a useful minor in data science, then they should go_x000D_
to the small additional effort of packaging it as a unit, available_x000D_
on a website devoted to the project (as well as other places) and_x000D_
available in the most useful formats, which includes the transparent_x000D_
document source, available with a license that allows instructors_x000D_
to adapt it to their needs._x000D_
_x000D_
_x000D_
Please evaluate the strengths and _x000D_
weaknesses of the proposal with respect to any additional solicitation-specific review criteria, if _x000D_
applicable_x000D_
_x000D_
_x000D_
The Phase II plan could be improved by modification that involve more_x000D_
activities that involve people outside of Johns Hopkins.  While it_x000D_
is beneficial to JHU, and students at JHU, to expand to include a PhD_x000D_
program and more faculty, this may not be the best use of funding_x000D_
intended to create an Institute.  Also, the number and variety of_x000D_
areas to be covered would be much larger if Phase II involved a_x000D_
significant number of visitors, with a separate focus program each_x000D_
semester.  This may be compatible with adding a PhD program, but_x000D_
it is more likely that the connection with PhD students would be_x000D_
through those which were working on projects related to the current focus._x000D_
_x000D_
The main shortcoming in this proposal is a lack of awareness of how_x000D_
to organize a variety of topics and how to foster collaboration_x000D_
among a diverse group working on each topic.  If MINDS is to become_x000D_
an Institute in the TRIPODS sense, then the administrators will_x000D_
need a procedure for deciding what problems to focus on and where_x000D_
to apply their limited resources (because resources are aleays_x000D_
limited, even with a Phase II TRIPODS grant).  The proposers missed_x000D_
an opportunity for applying these principles to their planned_x000D_
projects._x000D_
_x000D_
Additionally, the proposers need to think more about how work will_x000D_
occur on each specific project.  What is the right way to get the_x000D_
group started?  How will outside people be involved?  How will you_x000D_
determine if things are going well after one month?  Those are_x000D_
the questions which determine if an institute is doing well._x000D_
_x000D_
From the above discussion we see that the proposed evaluation plan is_x000D_
inadequate.  The current plan primarily concerns end-of-project_x000D_
measures of success.  Of course such things are important, but what_x000D_
is equally important, and more difficult, is ongoing formative_x000D_
evaluation which examines whether the *policies and procedures*_x000D_
are performing as hoped.  It is not trivial to have people in_x000D_
diverse areas to collaborate closely, and creative methods will be_x000D_
needed to ensure success.  (Note that the summative evaluations in_x000D_
the proposal also are inadequate.  The current version mentions_x000D_
what they might want to measure, but not how they will do that_x000D_
measurement, nor what values would be considered a success.)_x000D_
_x000D_
The Advisory Board would be improved by adding members outside of JHU._x000D_
_x000D_
_x000D_
Summary Statement_x000D_
_x000D_
The proposal describes a variety of activities in the TRIPODS areas,_x000D_
involving researchers from math, stat, and CS.  Connections with_x000D_
discipline scientists (primarily medicine and social sciences) make_x000D_
this a strong TRIPODS proposal.  The main weakness is a Phase II_x000D_
vision that mostly limits the impact to JHU._x000D_
_x000D_
The data management plan is adequate, but could be improved if_x000D_
curricular material was available in source format and made available_x000D_
in a more prominent place that separate departmental servers._x000D_
_x000D_
</t>
  </si>
  <si>
    <t xml:space="preserve">In the context of the five review elements, please _x000D_
evaluate the strengths and weaknesses of the proposal with respect to intellectual merit._x000D_
_x000D_
+ The proposal will fund collaborative research agenda of the main PIs, along with an annual research symposium, monthly seminar series. _x000D_
_x000D_
+ The PIs propose some concrete directions related to the analysis and interpretation of complex high-dimensional data. The plans and initiatives involving different departments are concrete. _x000D_
_x000D_
+ The strengths of the PIs are complementary. For example, PI Braverman's expertise in theory of sublinear algorithms (for clustering) is complementary to PI Vidal's expertise in subspace clustering and PI Arora's interests in signal processing. Some of the directions in this overlap seem promising. _x000D_
_x000D_
- While many of the PIs have strong track record in more applied aspects of ML, they seem less theoretical w.r.t. their primary research interests. For instance, among the three TCS PIs mentioned in the proposal, PI Vidal and PI Arora are more identified with their works in the computer vision community, and applied signal processing/ ML communities. _x000D_
_x000D_
- Going by the track-record of the PIs, they are more likely to produce transformative work in the more applied aspects of the proposal. _x000D_
_x000D_
- The proposal seems like it will mainly fund the research agenda of the PIs. It would have helped with more participation from people outside JHU. This would have helped to cover many areas in foundations of data science, that are not covered by the PIs' expertise._x000D_
_x000D_
In the context of the five review elements, please _x000D_
evaluate the strengths and weaknesses of the proposal with respect to broader impacts._x000D_
_x000D_
+ The proposal plans to develop curriculum on theory of data science at both the undergrad and graduate level._x000D_
+ There are very concrete plans for the PhD and Masters programs in Data Science. _x000D_
+ Involvement of high school students from Baltimore area._x000D_
_x000D_
Please evaluate the strengths and _x000D_
weaknesses of the proposal with respect to any additional solicitation-specific review criteria, if _x000D_
applicable_x000D_
_x000D_
+ The PIs have strong connections to applied data science research groups in biomedical research, and in image and speech processing through the PIs (in particular PIs Vidal, Arora, Geman and Priebe).  _x000D_
_x000D_
+ The connections between statistics, applied math and more applied data science described in the proposal seems strong. _x000D_
_x000D_
- The connection between TCS and Statistics in the directions described here is weak. While there is a lot of natural overlap between the two areas, the expertise of the PIs is along slightly different directions. They propose directions like "sketching in community detection" which seems very vague and not well developed (for instance, community detection typically focuses on sparse random graphs, which seem bad for compression/ standard sketching techniques)._x000D_
_x000D_
Summary Statement_x000D_
_x000D_
The PIs from Johns Hopkins propose a small collaborative institute led by researchers from mathematics, statisticians, and CS. The PIs have strong ties to applied data science groups in biomedical research, image and speech processing. However, the track-record of the PIs suggests they are less likely to produce transformative work in the more theoretical foundations, compared to the other proposals. Further, it may have been better if there was more participation from theorists outside JHU, to take advantage of their strong expertise in more applied aspects of ML. 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</si>
  <si>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create an data science institute at the Johns Hopkins University.  The proposed research includes topics (learning maps for complex heterogeneous data,statistical inference on attributed graphs, streaming and sketching algorithms for clustering and learning) in  each of the three TRIPODS disciplines, as well as at their intersections (e.g., high-dimensional learning in the small-sample regime, computational and statistical tradeoffs in learning theory, analysis of non-convex optimization algorithms, and mathematics of deep learning). The institute will provide opportunities to facilitate interactions among data scientists through seminars, symposium, a summer research school and workshop. It will also create  new undergraduate and graduate curricula on the theoretical foundations of data science (TFoDS). _x000D_
_x000D_
_x000D_
_x000D_
b)	Did the proposal identify specific research topics and clearly describe the roles of the mathematics, theoretical computer science, and statistics communities in addressing these foundational challenges?_x000D_
_x000D_
The proposal has identified quite a few research topics in each of the three TRIPODS disciplines, as well as at their intersections. The 3 communities have clear roles in these identified topics. _x000D_
_x000D_
c)	Did the proposal describe novel center-like activities? _x000D_
_x000D_
The proposed institute has standard center-like activities. _x000D_
_x000D_
_x000D_
d)	Please comment on the Interaction and Synergy among the 3 communities._x000D_
_x000D_
The proposed institute has solid  plan for the interaction and Synergy among the 3 communities.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quite a few listed  broad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fund Seminar Series and an Annual Symposium on the TFoDS. _x000D_
_x000D_
It will also support multiple Data Science Fellows jointly supervised by the PIs. _x000D_
_x000D_
The institute will  create a new Minor in Data Science and a Master on the TFoDS, which will be jointly offered by the departments of Computer Science and Applied Mathematics and Statistics._x000D_
_x000D_
The institute will also impact elementary/middle/high school students, women and underrepresented minorities, and the community at large through outreach activities._x000D_
_x000D_
Datasets and code will be made publicly accessible for research and educational purposes._x000D_
_x000D_
_x000D_
b)	Did the proposal identify specific broader impact activities and clearly describe the roles of project personnel in addressing these challenges?_x000D_
_x000D_
The project personnel has clear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This proposal has a well-integrated research and training program. The proposed research problems are all foundational challenges in data science, and require coordinated efforts from the 3 TRIPODS disciplines. _x000D_
_x000D_
_x000D_
b.	Does the proposal address the 'broad themes of the program' listed in the Program Description?_x000D_
_x000D_
The proposal addressed some of the broad themes. _x000D_
_x000D_
c.	Does the proposal address strategies for workforce development, including novel educational and training activities?_x000D_
_x000D_
The proposal has adequately addressed the issue of workforce development.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all three disciplines. _x000D_
_x000D_
e.	Vision: Is there a strong case for the ability to identify and articulate a vision for the foundations of data science? _x000D_
_x000D_
The proposal listed a number of research topics. The cohesion of these topics is somewhat lacking. There is no clear vision for the foundations of data science.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All PIs have strong track records and complementary expertise from the 3 TRIPODS disciplines. Each of them has a well defined role in the project. _x000D_
_x000D_
g.	Is there a well-developed plan for communication and interaction with the domain sciences and industry?_x000D_
_x000D_
It is not clear from the proposal what is the plan for  communication and interaction with the domain sciences and industry._x000D_
_x000D_
h.	Does the proposal provide a clear plan and rationale for an investment of the size proposed, including clear plans to develop capacity for potential future Phase II operations?_x000D_
_x000D_
_x000D_
The proposal has a clear plan to develop capacity for potential future phase II operations.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 a clear plan for ongoing assessment of all institute activities._x000D_
_x000D_
Summary Statement_x000D_
_x000D_
This proposal aims to create an data science institute at the Johns Hopkins University. The proposal identified a number of topics/challenges in data science, which require coordinated effort from the 3 TRIPODS disciplines. Some of the topics seem to be isolated and need better cohesion._x000D_
_x000D_
</t>
  </si>
  <si>
    <t>We propose to create The Johns Hopkins Mathematical Institute for Data Science (MINDS), a small collaborative institute led by a multidisciplinary team of mathematicians (Maggioni, Robinson), statisticians (Geman, Priebe) and theoretical computer scientists (Arora, Braverman, Vidal). The goals of the institute will be to (1) lead the establishment of the fundamental principles behind the analysis and interpretation of massive amounts of complex high-dimensional data, (2) facilitate interactions among data scientists through a monthly seminar series, an annual research symposium, and a summer research school and workshop; and (3) lead the creation of new undergraduate and graduate curricula on the theoretical foundations of data science (TFoDS). Existing partnerships and affiliations of our team members with data-intensive centers and institutes at Hopkins, such as the Institute for Data Intensive Engineering and Science, the Center for Imaging Science, the Center for Speech and Language Processing, and the Institute for Computational Medicine, will provide us with exquisite computational resources as well as numerous applications in image analysis, language processing and medicine.The institute will develop a novel research agenda on the TFoDS that will include topics in mathematics (e.g., learning maps for complex heterogeneous data), statistics (e.g., statistical inference on attributed graphs), and theoretical computer science (e.g., streaming and sketching algorithms), as well as topics at the intersection of these disciplines (e.g., high-dimensional learning in the small-sample regime, computational and statistical tradeoffs in learning theory, mathematical analysis of non-convex optimization algorithms, mathematics of deep learning). The institute will also fund an Annual Summer Research School and Workshop on the TFoDS, where a team of 3-4 faculty, 2-3 graduate students and 2-3 undergraduates work on their dream research topic for a period of 8 weeks. The faculty team will be chosen in the Fall through a call for proposals, while graduate and undergradutae students will be chosen in the Spring, the latter through an REU application process. A 2-week summer school consisting of lectures by invited speakers as well as hands-on lab experience on the TFoDS will precede the workshop. The institute will leverage 20+ years of Hopkins experience at organizing workshops of this kind and seek additional support from industrial partners who have funded these kinds of workshops at Hopkins in the past (e.g., Amazon, Facebook, Google and Microsoft).The proposed institute will fund a Seminar Series and an Annual Symposium on the TFoDS. The institute will also fund multiple Data Science Fellows, who will be jointly supervised by faculty from mathematics, statistics and computer science. The institute will also create a new Minor in Data Science and a Master on the TFoDS, which will be jointly offered by the departments of Computer Science and Applied Mathematics and Statistics. At present, Hopkins has absolutely outstanding senior- and graduate-level courses in statistics and machine learning, which will form the basis for the proposed master program. However, introductory courses (calculus, linear algebra, probability and statistics) are not well coordinated, and lack computational perspective and motivation from a data science point of view. The proposed minor will bridge this gap by creating new sophomore- and junior-level courses. The institute will also impact elementary/middle/high school students, women and underrepresented minorities, and the community at large. Datasets and code will be made publicly accessible for research and educational purposes.</t>
  </si>
  <si>
    <t>1740801</t>
  </si>
  <si>
    <t>Phillips</t>
  </si>
  <si>
    <t xml:space="preserve"> Panel Summary       
 Description: This is a proposal to establish a data science institute at University of Utah. The research program consists of multiple problems under the broad umbrella of structured dimensionality and data reduction, and coreset techniques. The team comprises seven investigators representing mathematics, statistics and theoretical computer science. The PIs propose to develop curriculum and data science degree programs at the undergraduate and graduate levels. The proposal also lays out plans for several outreach activities, including interactions with industry and development of translational and expository resources._x000D_
_x000D_
Intellectual Merit:_x000D_
_x000D_
Strengths _x000D_
+ the research topics are current and relevant, particularly to theoretical computer science_x000D_
+ the qualification of the investigators for the proposed research_x000D_
_x000D_
Weaknesses _x000D_
- interactions among the three disciplines is not well articulated_x000D_
- statistics seems to be underrepresented_x000D_
- the research focus is a bit narrow_x000D_
_x000D_
Broader Impact:_x000D_
_x000D_
Strengths _x000D_
+ the educational component is substantial and includes development of curriculum and degree programs_x000D_
+ Expansion of Utah Data Science Day as an outreach vehicle and for strengthening connections with local industry_x000D_
+ development of resources such as expository materials and educational videos_x000D_
_x000D_
Weaknesses _x000D_
- limited details about mechanisms to recruit students from underrepresented groups_x000D_
_x000D_
_x000D_
TRIPODS-specific criteria:_x000D_
_x000D_
Strengths _x000D_
+ summer workshops with participation of a good number of students and early-career scientists_x000D_
+ potential impact of Utah Science Day on workforce development_x000D_
+ plans for global research agendas with activities involving external visitors_x000D_
+ number of activities related to development of Phase II capacity_x000D_
+ institutional support for development of a data science center_x000D_
+ proposed development of curricula and degree programs_x000D_
_x000D_
Weaknesses _x000D_
- some panelists thought that the integration of research and training is not well articulated_x000D_
- some panelists found that the discussion of connections between the foundational research and domain specific applications was insufficient_x000D_
_x000D_
Collaboration and Evaluation Plan: The collaboration plan is adequate. Some concerns were raised in regard to the lack of objective measures of success in the evaluation plan._x000D_
_x000D_
Data Management Plan: adequate_x000D_
_x000D_
Post-doctoral Mentoring Plan: adequate_x000D_
_x000D_
Suggestions to PI: Ensure that the research effort integrates the three core disciplines in a substantive manner_x000D_
_x000D_
Justification for Panel Rating: The panel found that the overall research program is strong, but expressed concerns related to the heavy focus on problems in theoretical computer science. The proposed educational, training and workforce development activities were perceived as well developed and strong._x000D_
_x000D_
Panel Rating:_x000D_
_ Highly Recommended _x000D_
X Recommended _x000D_
_ Not Recommended _x000D_
_x000D_
The summary was read by/to the panel and the panel concurred that the summary accurately reflects the panel discussion._x000D_
</t>
  </si>
  <si>
    <t xml:space="preserve">Proposal ID: CCF 1740801_x000D_
PI: Phillips, Jeff M._x000D_
Institution: University of Utah _x000D_
Title:  TRIPODS : Structured Dimensionality and Data Reduction for Statistical Inference_x000D_
_x000D_
Dear Professor Phillips,_x000D_
_x000D_
I regret to inform you that your NSF proposal CCF 1740801 has been recommended for declination. _x000D_
_x000D_
The reviews and panel summary, which are available through FastLane, provide the basis for the recommendation made by the TRIPODS Management Team.  _x000D_
_x000D_
If you have any questions about the review process, feel free to contact me.   _x000D_
_x000D_
Sincerely,_x000D_
_x000D_
Nandini Kannan_x000D_
nakannan@nsf.gov_x000D_
_x000D_
-----------------------------------------------------------------------------------------------------------------------------_x000D_
These comments are the review analysis I prepared in support of my recommendation for this proposal._x000D_
_x000D_
Context: _x000D_
_x000D_
This project was submitted to the program solicitation NSF 16-615, Transdisciplinary Research in Principles of Data Science (TRIPODS) Phase I. The context statement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Panel Review: _x000D_
_x000D_
This proposal was reviewed by a panel consisting of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Panel Ratings and Ranking: _x000D_
_x000D_
This proposal received reviews of G, V, and V and was placed in the Recommended category. _x000D_
_x000D_
Overview:  _x000D_
_x000D_
This project focuses on topics related to data and dimensionality reduction.  The PIs describe two primary research goals: (1) developing generalized versions of principal component analysis, and (2) integrating statistical analysis with coresets._x000D_
_x000D_
Intellectual Merit: _x000D_
_x000D_
The reviewers and panel agreed that the research topics were interesting and timely, but noted that the focus seemed relatively narrow.  Reviewers felt that, while the theoretical computer science contributions were well-articulated, the synergy with mathematics and statistics was not described in detail. _x000D_
_x000D_
Broader Impacts: _x000D_
_x000D_
The proposal describes plans for developing a data science curriculum and degree programs at the University of Utah.  The PIs were involved with the creation of the Data Management and Analysis Track (the "Data Track"), and have shared lecture notes and videos through YouTube.  Plans to recruit underrepresented and minority students to the new data science programs are also described._x000D_
_x000D_
TRIPODS Specific Review Criteria:_x000D_
_x000D_
Some reviewers found the proposed plan for integration of research, education and training in foundations of data science to be a strength of the proposal, while others felt that the connections between the research and training components were not well-described.  _x000D_
_x000D_
Analysis and recommendation:_x000D_
_x000D_
While the panel liked many aspects of the research and training activities, the consensus of the panel was that the research was narrowly focused and the synergy between the three disciplines was not well-articulated._x000D_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 _x000D_
_x000D_
The TRIPODS Management Team recommends that this proposal be declined. _x000D_
_x000D_
Nandini Kannan, Program Officer _x000D_
Division of Mathematical Sciences _x000D_
Aug 8, 2017 _x000D_
_x000D_
On behalf of the TRIPODS Management Team _x000D_
Nandini Kannan _x000D_
Tracy Kimbrel _x000D_
Jack Snoeyink _x000D_
Christopher Stark_x000D_
</t>
  </si>
  <si>
    <t xml:space="preserve">In the context of the five review elements, please _x000D_
evaluate the strengths and weaknesses of the proposal with respect to intellectual merit._x000D_
_x000D_
The research component is essentially focused on dimension reduction_x000D_
and coresets/sketching techniques in a variety of settings. The idea_x000D_
is to develop dimension reduction techniques in settings where either_x000D_
the input, or the output, has additional properties or_x000D_
constraints. Coresets and sketching are more involved, more_x000D_
computational versions of dimension reduction._x000D_
_x000D_
The proposed research is much heavier on TCS more than on other_x000D_
aspects, but is nonetheless congnizant of connections to statistics_x000D_
and mathematics. The connection to statistics comes especially in the_x000D_
context of coresets, which can be seen as a careful sample of larger_x000D_
dataset preserving some original global information (though this is_x000D_
also a slightly less developed part of the proposal, in contrast to_x000D_
the first part). The connection to math is a little less clear, and_x000D_
appears more though through use of advanced math results for analysis_x000D_
(eg, random matrix theory). This balance of topics is understandable_x000D_
given that proposal seems to be primarily driven by TCSers._x000D_
_x000D_
Strengths:_x000D_
+ topic is modern, data-science-y, relevant, of high interest_x000D_
+ PIs are knowledgeable and have expertise_x000D_
_x000D_
Weaknesses:_x000D_
- the synergy with stats and math is not as strong as one could_x000D_
imagine it would be_x000D_
- while the topic itself is very interesting, I feel it is somewhat focused._x000D_
_x000D_
Center-building activities: this proposal is very solid in this regard:_x000D_
- they already have significant push towards Data Science at Utah, via_x000D_
new tracks/certificates/degrees in data-sciency subjects._x000D_
- more generally, they have a push in the Mountain West region, e.g.,_x000D_
via a recent (Jan'17) Utah Data Science Day, which combined academic_x000D_
and industry-speficic activities._x000D_
_x000D_
It is natural to expect that they can build on these efforts even_x000D_
further. The proposal mentions:_x000D_
- creating more Data Science-y academic programs (eg, PhD and BS_x000D_
program), classes, etc._x000D_
- creating "educational resources" in form of expository articles, in_x000D_
collaboration with external visitors (which sounds particularly novel);_x000D_
- workshops, summer schools._x000D_
_x000D_
_x000D_
In the context of the five review elements, please _x000D_
evaluate the strengths and weaknesses of the proposal with respect to broader impacts._x000D_
_x000D_
The proposal is particularly solid on broader impacts due to the solid_x000D_
center building activities part, described above. Many of the items_x000D_
mentioned above are outside-facing: the PI have put a lot of effort in_x000D_
making their academic resources accessible to public and want to be_x000D_
"leading by example". Eg, they already have youtube account with_x000D_
videos of some classes._x000D_
_x000D_
_x000D_
Please evaluate the strengths and _x000D_
weaknesses of the proposal with respect to any additional solicitation-specific review criteria, if _x000D_
applicable_x000D_
_x000D_
+ There is some good potential for synergy and complementarity among the_x000D_
PIs: they are mostly partitioned into 2 groups (TCS and math/stats),_x000D_
but they go to each others' seminars._x000D_
_x000D_
+ the research and training are trans-disciplinary_x000D_
_x000D_
- I do not see a clear connection between research and training parts_x000D_
_x000D_
- The proposal does not address Phase II, though I would not take this a_x000D_
sign of lack of regard towards Phase II._x000D_
_x000D_
_x000D_
Summary Statement_x000D_
_x000D_
Overall, I consider this to be a very good proposal. There is a solid_x000D_
and sound research plan (albeit a little TCS-heavy and maybe too_x000D_
focused). The PIs are knowledgeable, represent all 3 areas, and have_x000D_
solid potential of collaboration. The center-building activities are_x000D_
well-developed and have good potential of impact, both intellectual_x000D_
and broader._x000D_
_x000D_
_x000D_
</t>
  </si>
  <si>
    <t>NM0734532</t>
  </si>
  <si>
    <t>Mio</t>
  </si>
  <si>
    <t>mio@math.fsu.edu</t>
  </si>
  <si>
    <t xml:space="preserve">In the context of the five review elements, please _x000D_
evaluate the strengths and weaknesses of the proposal with respect to intellectual merit._x000D_
_x000D_
The proposal presents plans to build a data science institute at the University of Utah. The proposed research agenda includes multiple topics under the broad umbrella of structured dimensionality and data reduction. A team of seven investigators representing mathematics, statistics and theoretical computer science will lead the research efforts. The proposal includes development of a full data science curriculum and degree programs at both the undergraduate and graduate levels. The proposal also lays out plans for industrial outreach efforts and development of translational and expository resources related to data science. The team will organize summer workshops that will include tutorials for students and early-career scientists._x000D_
_x000D_
The proposal offers a fairly detailed discussion of specific research topics that include several problems in structured dimensionality reduction and statistical analysis of data using a variety of techniques. A postdoc and several graduate students will participate in the research effort. Collectively, it seems clear that the problems will require expertise in the three core disciplines and the research agenda contains enough substance for a Phase I effort. What is not as clear is how the proposed problems will create significant synergies among the core disciplines. This point is not so well articulated in the proposal. I would have liked to see more solid arguments in this direction. The team of investigators seems to be well qualified for the task, but statistics seems to be a bit underrepresented. As a matter of fact, I wish the proposal explained how statistics is structured at University of Utah. (Is it part of mathematics? Integrated with several departments?) This would have helped me make a more informed and objective assessment of some components of the proposal. The PIs will organize summer workshops focused on selected topics, hosting 20-30 students and early-career scientists. The team has a track record of hosting such events and this part of the proposal looks sound. TRIPODS broad themes addressed in the proposal include development of common terminologies and concepts, curriculum development, and study of problems involving dynamical data. Many of the proposed research problems seem to be closely related to applications, but the proposal does not develop this connection, perhaps a bit of a missed opportunity to characterize the application awareness of the research program._x000D_
_x000D_
In the context of the five review elements, please _x000D_
evaluate the strengths and weaknesses of the proposal with respect to broader impacts._x000D_
_x000D_
Besides research dissemination through the standard channels, the team anticipates developing expository materials such as lecture notes and video lectures that will be posted on their You Tube channel, which have had a solid number of views for material posted in the past two years, as reported in the proposal. They propose to significantly expand the Utah Data Science Day, a campus-wide event first hosted in January 2017, co-organized by one of the PIs. The proposal argues convincingly that this will be an important focal point for sharing research from around campus and build tighter connections with local industry (Silicon Slopes). Among other things, this will help ensure that students are being trained in the right skillset for jobs and interaction with industry. This seems to be a novel and creative element that will enhance the impact of the project on education and workforce development. The educational component is pretty well developed and strong. I will further comment on this below, under solicitation-specific criteria.  The proposal briefly mentions efforts to recruit students from underrepresented groups, but details about specific mechanisms and project personnel leading the effort are not provided. In spite of this, overall, I find the proposal pretty strong with respect to broader impacts, with some outside-the-box thinking._x000D_
_x000D_
Please evaluate the strengths and _x000D_
weaknesses of the proposal with respect to any additional solicitation-specific review criteria, if _x000D_
applicable_x000D_
_x000D_
The integration of research, education and training in foundations of data science is well structured and a strength of the proposal. The proposed development of curriculum and degree programs seems to have quite a bit of substance and includes degree programs in Data Science at the undergraduate and graduate levels (MS and PhD). The proposal offers evidence that some PIs have experience in curriculum development and indicates that a couple of the courses already are in development. The aforementioned Utah Science Day will further enhance these efforts. Besides the usual participation in research projects, postdocs and graduate students will lead the development of expository materials working in conjunctions with experts. The experience will likely be very valuable to them. As already noted, I think there are some creative elements in the proposed educational activities and strategies for workforce development. The main interactions with domain sciences and industry outlined in the proposal seem to be related to education. The research themes appear to be pretty closely related to applications, but as remarked above, this angle was not developed. The proposal presents many details of the research problems, perhaps at the expense of better explaining the value of the collaboration among the core disciplines and the synergies that will result from the research activities. This is only implicit in the discussion of research topics. One thing that I liked was that the proposal articulates a vision for global research agendas, as opposed to a regional focus as in most other proposals that I have read. This should give a more dynamical character to the institute and enhance its overall impact on foundations of data science. The proposal indicates that the University is supporting additional faculty hires in data science through the mathematics and computer science departments and promising space for a statistical data science center. These are good things for developing Phase II capability and capacity._x000D_
_x000D_
The evaluation plan lists several desirable outcomes in research, curriculum development and dissemination, but specific measures of success could have been more clearly identified and stated more objectively. The plan does not seem to specify how frequently they will carry out evaluations and how the evaluations will inform the project._x000D_
_x000D_
Summary Statement_x000D_
_x000D_
The proposal presents a research program that addresses a number of structured dimensionality and data reduction problems. Successful action on these should provide solid groundwork for establishing a data science institute. The proposal could have made a stronger case that the interactions and synergies among the core disciplines will be significant although this can be taken as implicit in the narrative. The integration of research, education, training and outreach is very well structured and articulated including a few novel elements, a significant strength of the proposal. More careful proofreading would have made some parts of the proposal more readable._x000D_
_x000D_
I rank this proposal in the middle third of those I have read._x000D_
_x000D_
_x000D_
</t>
  </si>
  <si>
    <t xml:space="preserve">In the context of the five review elements, please _x000D_
evaluate the strengths and weaknesses of the proposal with respect to intellectual merit._x000D_
_x000D_
Strengths: _x000D_
_x000D_
+ The proposed research activities center around dimension reduction and data reduction, which are the core issues in modern data analysis. _x000D_
_x000D_
+ These problems clearly require expertise in computing, statistics and mathematics. The PIs are strong researchers in these areas._x000D_
_x000D_
Weaknesses: _x000D_
_x000D_
- The proposed research is somewhat narrow, lacking a general vision for the foundation of data science. _x000D_
_x000D_
- The involvement of statisticians can be strengthened._x000D_
_x000D_
In the context of the five review elements, please _x000D_
evaluate the strengths and weaknesses of the proposal with respect to broader impacts._x000D_
_x000D_
Strengths: _x000D_
_x000D_
+ The proposal has strong plan for education, outreach and resource creation, including curriculum building, industrial outreach, cross-disciplinary artifacts, and workshops and summer schools._x000D_
_x000D_
+ The PIs have strong track record on leading data science related programs. _x000D_
_x000D_
+ The PIs co-organized the Utah Data Science Day. _x000D_
_x000D_
+ The PIs propose to create series on data science translational and expository resources. _x000D_
_x000D_
+ The PIs propose to develop video lectures on Youtube. _x000D_
_x000D_
+ The proposed activities include recruiting underrepresented and minority students. _x000D_
_x000D_
Weaknesses: _x000D_
_x000D_
Not noted._x000D_
_x000D_
Please evaluate the strengths and _x000D_
weaknesses of the proposal with respect to any additional solicitation-specific review criteria, if _x000D_
applicable_x000D_
_x000D_
Strengths: _x000D_
_x000D_
+ This proposal is a good match to this program, as dimension reduction and data reduction are fundamental problems in data science._x000D_
_x000D_
+ The synergy between computing, math, and stat aspects is strong. _x000D_
_x000D_
+ The educational and training activities are strong. _x000D_
_x000D_
+ The outreach activities are strong. _x000D_
_x000D_
Weaknesses: _x000D_
_x000D_
- The PIs may expand the scope of the proposed research to address general foundational issues of data science._x000D_
_x000D_
-  The PIs may also want to strengthen the involvement of statisticians._x000D_
_x000D_
- The organization, management and evaluation plans are not particularly strong. _x000D_
_x000D_
- There is no detailed plan for transitioning to Phase II._x000D_
_x000D_
Summary Statement_x000D_
_x000D_
This is a very good proposal. The proposed research is at the core of data science, and it is likely to be successful given the strong records of the PIs. The PIs may want to broaden the scope of their research plan to cover more ground._x000D_
_x000D_
</t>
  </si>
  <si>
    <t>This project will build and analyze a series of techniques for data and dimensionality reduction for large-scale statistical analysis problems in data science. These problems are by nature crossdisciplinary from computing, statistics, and mathematics; and the team will thus spend significant time in building a common language across these areas. A proposed series of technical artifacts and a series of events will aid in the transfer of these advances to the research community and industry. The PIs will also use this research collaboration as a focal point to guide the creation of a comprehensive data science curriculum that will be advertised via the aforementioned events._x000D_
The proposal is to address data and dimensionality reduction tasks for statistical inference by targeting several specific problems. The dimensionality reduction problems will focus on highly structured data, and when the target dimension is most useful as is constant. This includes problems in preserving topology, correlation structure, information distance, and non-linear functional maps._x000D_
The data reduction problems will analyze how to integrate coresets (small proxies for large data sets) with statistical analysis. Several specific issues arise in aligning notions of error, estimating the effective sample size, implicit regularization, and extending statistical analysis to more complex representations. In all, these tasks represent a central set of challenges for integrating rigorous statistical analysis with techniques for computing on large and complex data sets._x000D_
Keywords: Dimension Reduction, Coresets, High-Dimensional Geometry, Topological Data Analysis.This proposal will develop techniques at the heart of large scale data science. While basic techniques in dimensionality reduction are well-studied, when highly structured relationships need to be preserved much less is known. These challenges lie at the forefront of computational topology, high-dimensional geometry, and statistical inference. Similarly coresets are becoming a central part of large scale data analysis, but their integration with statistical analysis is as of yet, quite primitive._x000D_
Bridging this gap requires addressing challenges from geometry, spatial and high-dimensional statistics, probability theory, and analysis. In each to these cases, integrating ideas and language from mathematics, computing, and statistics is essential? and the distillation of concepts from these areas will be of its own importance for broader understanding.Large, high-dimensional, and complex data sets arise consistently in data science applications. Thus the developed techniques will be applicable to areas such as time series analysis, spatial statistics, information retrieval and text analysis, visualization, and machine learning._x000D_
As this proposal will also develop a data science curriculum for a mid-to-upper tier undergraduate university, and will be advertise regionally and nationally, the output will affect the educational and training missions beyond the home university. A series of artifacts (each a technical document focused on intuition and short video) will help normalize notation and communicate these approaches to cross-disciplinary problems in data science to a large audience of researchers. Workshops and Utah Data Science Days will further connect with research audiences and industry.</t>
  </si>
  <si>
    <t>1740803</t>
  </si>
  <si>
    <t>Mukherjee</t>
  </si>
  <si>
    <t xml:space="preserve"> Panel Summary       
 _x000D_
_x000D_
Description: _x000D_
_x000D_
The investigators propose a framework for geometric data analysis (GDA); methods that take into account intricate_x000D_
geometric/topological structure in the data, in order to address the challenges facing data science. Topics include: _x000D_
-Representation of complex objects and their distributions_x000D_
-Maps between data sets_x000D_
-Optimization and sampling_x000D_
-Learning and inference_x000D_
The work will be applied to :_x000D_
- Computational journalism , _x000D_
- Computational criminology, _x000D_
- Morphometrics in evolutionary and molecular biology, _x000D_
- Brain imaging:_x000D_
It proposes to ramp up institute activities by: _x000D_
-Workshops and seminars._x000D_
-Digital products for dissemination._x000D_
-Engaging local institutions_x000D_
-Training high-school and middle-school STEM teacher_x000D_
_x000D_
Intellectual Merit: _x000D_
_x000D_
Strengths_x000D_
_x000D_
+ Research looks at complete data pipelines, they look at every face of the data analysis_x000D_
+ The nonconvex optimization part is very good._x000D_
+ The ideas concerning representation of shapes without requiring landmarks appears to have significant originality. _x000D_
+ Excellent research team. _x000D_
Weaknesses_x000D_
-The application side maybe is too narrow. There are not clear connections in geometry of the application, they are believable but not expressed. _x000D_
- The proposal does not talk about the impact of recent dramatic progress in machine learning on several of the application domains considered. The panel would have liked to see contrast between the proposed work, and these techniques. _x000D_
- The proposal would have benefited by connecting 'Information geometry' with more modern concepts emerging from statistics and theoretical computer science. _x000D_
- The proposal does not look very cohesive. The panel is concerned about the work evolving in independent non-related research threads. _x000D_
- The sections "connection to data analysis" and "validation in application domains" seem disconnected in aim. _x000D_
_x000D_
Broader Impact:_x000D_
Strengths_x000D_
+ Several topics are at the intersection of the 3 foundational areas: Learning has stats and CS, and several topics are mixed to work between them. _x000D_
+ The proposal described a well-integrated research and training program. _x000D_
+ The proposed research problems are all foundational challenges in geometric data science, and require the collaboration and interaction among the 3 communities of TRIPODS._x000D_
Weaknesses_x000D_
- The proposal would be stronger if it connected the geometry-focused concepts to the broader existing statistical ideas._x000D_
_x000D_
TRIPODS-specific criteria: _x000D_
Strengths_x000D_
+ the activity of the internal advisory board in order to assess the metrics of progress and the evolution along those metrics appears to be thought out in detail and has a great representation of the disciplines required. _x000D_
+ the collaboration, evaluation and preparation for phase 2 plan appeared to be well thought out. _x000D_
Weakness_x000D_
- while it is clear from the description where the ideas will go in phase 2 in terms of applications and possible other institutions, it is not clear how the topics would or could evolve. _x000D_
_x000D_
Collaboration and Evaluation Plan: _x000D_
The PIs have specific assignments. They will have formal all-hands PI meetings every month. They have a dedicated professional for evaluation, and budgeted as such. Criteria are listed, and classical. They have an internal advisory board. _x000D_
_x000D_
Data Management Plan: _x000D_
There do not appear to be plans to make the software publicly available, but the data will be. They have access to a protected research data network for sensitive and protected data sets. _x000D_
_x000D_
_x000D_
Post-doctoral Mentoring Plan: _x000D_
Postdocs will be co-advised, will have an opportunity to teach a course in data science and mentor graduate and undergraduate students. _x000D_
_x000D_
Justification for Panel Rating: There are some interesting research topics, though too narrowly tied around geometry. The proposal would have been much stronger if it connected the geometry-focused concepts to the broader existing statistical and theoretical computer science ideas. The proposal has good investigators, but their cohesiveness was not fully convincing. _x000D_
_x000D_
Panel Rating:_x000D_
_ Highly Recommended_x000D_
_X Recommended_x000D_
_ Not Recommended_x000D_
_x000D_
The summary was read by/to the panel and the panel concurred that the summary accurately reflects the panel discussion._x000D_
 _x000D_
</t>
  </si>
  <si>
    <t>TRIPODS Review Analysis_x000D_
_x000D_
Panel Recommendation: Recommended_x000D_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Reviews and Panel Ranking: _x000D_
_x000D_
Review ratings: E/V, V/G, F_x000D_
_x000D_
This proposal was among the 8 rated R and was ranked 10th overall._x000D_
_x000D_
Intellectual Merit:_x000D_
_x000D_
The investigators propose a framework for geometric data analysis (GDA): methods that take into account intricate geometric and topological structure in the data, in order to address the challenges facing data science.  The panel agreed that the team was excellent and expressed a comprehensive view of the end to end data pipeline.  However, essential connections to machine learning were considered missing, and statistics and theoretical computer science were not as well represented as they should have been.  One reviewer was quite critical of the lack of current state-of-the-art theoretical computer science and machine learning content._x000D_
_x000D_
Broader Impact:_x000D_
_x000D_
The panel appreciated the outreach and application components of the proposal, but felt that these should have been better connected to the research proposed._x000D_
_x000D_
TRIPODS-specific criteria: _x000D_
_x000D_
The panel felt the institution-building aspects were good, but as mentioned, one panelist was quite disappointed in the theoretical computer science aspects._x000D_
_x000D_
Response to E/V review:_x000D_
_x000D_
The reviewer used a checklist format, and "checked most of the boxes," indicating that the proposal managed to include most of the required elements.  However, little or no support is given to substantiate some of these claims.  Other reviewers pointed out several weaknesses in the proposal._x000D_
_x000D_
Recommendation:_x000D_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This is a quality proposal and would be worthy of support if there were fewer proposals or more funds available, but the available funds are not enough to reach this far into the list of recommended proposals, and my recommendation is that this proposal be declined.  _x000D_
_x000D_
_x000D_
Tracy Kimbrel, Program Officer _x000D_
Division of Computing and Communication Foundations _x000D_
Aug 10, 2017 _x000D_
_x000D_
On behalf of the TRIPODS Management Team _x000D_
Nandini Kannan _x000D_
Tracy Kimbrel _x000D_
Jack Snoeyink _x000D_
Christopher Stark</t>
  </si>
  <si>
    <t xml:space="preserve">In the context of the five review elements, please _x000D_
evaluate the strengths and weaknesses of the proposal with respect to intellectual merit._x000D_
_x000D_
I do not see how this proposal promotes fundamental research and training in the theoretical foundations of data science. There is no mention of statistics in language that an undergraduate student in statistics would recognize and there is very little theoretical computer science. This is an applied math proposal in which the word "geometry [of data]" is stretched enough that even "computational journalism" can be brought into the fold of "geometric data science." _x000D_
_x000D_
By and large this is a proposal by people who want to continue doing what they have been doing, cast as data science. Frankly, given how thoroughly the geometric (and mathematically super-sophisticated) methods in this proposal have been trounced in recent years by Deep Neural Nets in nearly every problem they set out to solve, I would have expected much more soul-searching in this community, even some intellectual humility. Yes, topology and group structure are nice, but so far they can only be made useful in domains where we also control the data acquisition process, e.g., controlled imaging._x000D_
_x000D_
At any rate, even though the underlying ideas are very sophisticated and mathematical, this proposal does not propose much in the way of building theoretical foundations for data science, other than through notions that for more than two decades have largely failed to deliver. In that sense, referring to "information geometry" as an "emerging field" while citing Amari's text from 1993 is dissonant._x000D_
_x000D_
In the context of the five review elements, please _x000D_
evaluate the strengths and weaknesses of the proposal with respect to broader impacts._x000D_
_x000D_
The proposal is rather strong on the training aspects, especially the project-based learning._x000D_
_x000D_
_x000D_
Please evaluate the strengths and _x000D_
weaknesses of the proposal with respect to any additional solicitation-specific review criteria, if _x000D_
applicable_x000D_
_x000D_
_x000D_
_x000D_
Summary Statement_x000D_
_x000D_
This proposal was in the bottom half of the proposals I reviewed._x000D_
_x000D_
_x000D_
</t>
  </si>
  <si>
    <t xml:space="preserve">In the context of the five review elements, please _x000D_
evaluate the strengths and weaknesses of the proposal with respect to intellectual merit._x000D_
_x000D_
Strengths: _x000D_
_x000D_
+ The proposal identifies geometry as a connecting linchpin for putting together information and creating context out of disparate, heterogeneous species of information._x000D_
_x000D_
+ The ideas concerning representation of shapes without requiring landmarks appears to have significant originality._x000D_
_x000D_
+ Some of the ideas in "high dimensional optimization" are quite intriguing such as the logarithmic number of steps. I suspect that one would have to have very special optimization problems but it is a really interesting way to go._x000D_
_x000D_
+ the ideas of using locally curved components to capture low dimensional genetic structure is an intriguing one and appears to be quite original._x000D_
_x000D_
+ The investigators are absolutely top-notch in their areas._x000D_
_x000D_
Weaknesses: _x000D_
_x000D_
- in the choice of the "connection to data analysis" and "validation in application domains" It is unclear how these two connect._x000D_
_x000D_
_x000D_
- I appreciate that there is no page space to develop the ideas in this proposal, but some of the activities are not even hinting as to how they would be useful rather than what they would do. For example "topology and algebra"; I have no doubt that these connections exist and that the people who propose it are very competent but I just do not see how they envision using it in the sense of it being explained in some way._x000D_
_x000D_
- Similar concern about "representations of parameter spaces" fairly vague description._x000D_
_x000D_
- The topic "geometry of the energy landscape", again we have very little idea as to what is proposed to be done though the challenges and past issues are described very well and convincingly._x000D_
_x000D_
_x000D_
In the context of the five review elements, please _x000D_
evaluate the strengths and weaknesses of the proposal with respect to broader impacts._x000D_
_x000D_
+ the activities that the institution already has that and that it plans to enhance along the IID and data Fest activities are well thought out and appear provide a substantial vehicle for students to train in the nitty-gritty of data._x000D_
+ "the query response surface" idea in order to check the quality of a claim appears innovative._x000D_
_x000D_
+ the computational criminology direction is very intriguing._x000D_
_x000D_
+ The educational component appears to be very well thought out and benefits from thinking about all the levels of education and how they interact with each other._x000D_
_x000D_
-The proposal mentions activities 'training high school and middle school teachers;' these would be even stronger if the connection to the proposed research topics was made clear._x000D_
_x000D_
_x000D_
_x000D_
Please evaluate the strengths and _x000D_
weaknesses of the proposal with respect to any additional solicitation-specific review criteria, if _x000D_
applicable_x000D_
_x000D_
+ the activity of the internal advisory board in order to assess the metrics of progress and the evolution along those metrics appears to be thought out in detail and has a great representation of the disciplines required._x000D_
+ the collaboration, evaluation and preparation for phase 2 plan appeared to be well thought out._x000D_
- while it is clear from the description where the ideas will go in phase 2 in terms of applications and possible other institutions it is not clear how the topics would or could evolve._x000D_
- the computer science angle is very subdued unless one considers discrete mathematics and machine learning to be a core part of it. _x000D_
_x000D_
_x000D_
_x000D_
_x000D_
Summary Statement_x000D_
_x000D_
This is a strong proposal, with excellent investigators, with good ideas about how to reach a large number of individuals, and with an appealing connecting concept of geometry. Some of the research directions are not clearly described, the plans are well thought out but perhaps not fully satisfactory, and the computer science component is subdued._x000D_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</si>
  <si>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Duke Geometric Data Science Center that will strengthens existing and establishes new collaborations among researchers in computer science, mathematics, and statistical science. The goal of this institute is to develop transformative new frameworks for geometric data science and  use them to establish connections with application domains. It will engage and mentor students and young researchers across all three disciplines; rethink existing curriculum at both graduate and undergraduate to better prepare the next generation of data scientists; and engage in community-building activities._x000D_
_x000D_
_x000D_
_x000D_
b)	Did the proposal identify specific research topics and clearly describe the roles of the mathematics, theoretical computer science, and statistics communities in addressing these foundational challenges?_x000D_
_x000D_
The proposal has identified four research topics in geometric data analysis, representation of complex objects and their distributions, maps between data sets, optimization and sampling, and learning and inference. These topics have clear roles for mathematics, theoretical computer science, and statistics communities._x000D_
_x000D_
_x000D_
c)	Did the proposal describe novel center-like activities? _x000D_
_x000D_
The proposal describes "standard" center-like activities. _x000D_
_x000D_
d)	Please comment on the Interaction and Synergy among the 3 communities._x000D_
_x000D_
The proposed activities provide plenty of interaction and synergy among the 3 communities._x000D_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almost all broad themes._x000D_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This project will strengthen existing collaborations and establishing new ones among researchers in computer science, mathematics, and statistical science at Duke. _x000D_
_x000D_
It will provide opportunities to engage and mentor students and young researchers._x000D_
_x000D_
It will enhance graduate and undergraduate curricula to better prepare the next generation of data scientists. _x000D_
_x000D_
The institute will also be engaged in community- building activities such as organizing workshops to disseminate recent results as well as to identify future research directions; hosting short- and medium-term visits by both young and senior researchers; and forging strategic partnerships with research labs and industry. _x000D_
_x000D_
_x000D_
_x000D_
b)	Did the proposal identify specific broader impact activities and clearly describe the roles of project personnel in addressing these challenges?_x000D_
_x000D_
The project personnel has clearly described roles in the broader impact activities. _x000D_
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described a well-integrated research and training program. The proposed research problems are all foundational challenges in geometric data science, and require the collaboration and interaction among the 3 communities of TRIPODS. _x000D_
_x000D_
b.	Does the proposal address the 'broad themes of the program' listed in the Program Description?_x000D_
_x000D_
The proposal adequately addressed almost all the listed broad themes. _x000D_
_x000D_
c.	Does the proposal address strategies for workforce development, including novel educational and training activities?_x000D_
_x000D_
The proposal has good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statistics._x000D_
_x000D_
e.	Vision: Is there a strong case for the ability to identify and articulate a vision for the foundations of data science? _x000D_
_x000D_
The proposal provides a nice vision for the foundations of geometric data science. _x000D_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is very strong and all have outstanding track record. Their expertise complements each other, and spans over the 3 TRIPODS communities. _x000D_
_x000D_
g.	Is there a well-developed plan for communication and interaction with the domain sciences and industry?_x000D_
_x000D_
The proposal provides opportunities for communication and interaction with the domain sciences and industry through dissemination and validations. _x000D_
_x000D_
_x000D_
h.	Does the proposal provide a clear plan and rationale for an investment of the size proposed, including clear plans to develop capacity for potential future Phase II operations?_x000D_
_x000D_
The proposal has the potential for future phases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provides a clear plan for ongoing assessment of all institute activities._x000D_
_x000D_
Summary Statement_x000D_
_x000D_
This proposal aims to establish a geometric data science center at Duke. The proposal is very well written and carefully planned. The identified problems are all fundamental and if solved, could have profound impact to the field of data science. _x000D_
_x000D_
_x000D_
</t>
  </si>
  <si>
    <t>Geometry is ubiquitous at all scales. It is thus not surprising that much of the data being gathered has a geometric character, either directly or indirectly. Besides traditional geometric data - images, video, and 3D scans - even non-geometric phenomena, such as users in a social network or a corpus of text documents, are being mapped to geometric spaces, revealing underlying geometric and topological structures in data. Such data sets are high-dimensional, complex, heterogeneous, and often noisy and incomplete; collected in distributed, piecemeal manner; and updated rapidly. To take full advantage of opportunities provided by these data sets, fundamentally new methods have to be developed for modeling and analyzing such data, not to mention how best to collect the data for a specific task, as well as for presenting the useful information to a user in a meaningful way. Such development will impact a wide variety of scientific fields, industry, and society at large, but this will require expertise across disciplines. Duke proposes to develop a TRIPODS institute with a focus on geometric data science to develop transformative new frameworks for geometric data science; strengthen existing collaborations and establish new ones among researchers in computer science, mathematics, and statistical science; and engage and mentor students and young researchers across all three disciplines.The goal of the Duke Geometric Data Science Center will be to develop transformative new frameworks for geometric data science. Fundamental challenges include: (i) developing representations of complex objects and their distributions that are flexible and interpretable; (ii) learning maps between data sets or objects; (iii) developing provable optimization and sampling methods for complex data and complex representations; (iv) novel probability models for learning and inference that are provably flexible, interpretable, computable and quantify uncertainty.These challenges will be addressed by strengthening existing collaborations and establishing new ones among researchers in computer science, mathematics, and statistical science; by engaging and mentoring students and young researchers; and by rethinking existing curriculum - both graduate and undergraduate - to better prepare the next generation of data scientists. The institute will also be engaged in community-building activities such as organizing workshops to disseminate recent results as well as to identify future research directions; hosting short- and medium-term visits by both young and senior researchers; and forging strategic partnerships with research labs and industry. Duke is uniquely poised to address these challenges given its existing expertise in (i)-(iv), its existing cross-department data science collaborations, and its focus on interdisciplinary education.</t>
  </si>
  <si>
    <t>1740805</t>
  </si>
  <si>
    <t>Mumey</t>
  </si>
  <si>
    <t xml:space="preserve"> Panel Summary       
 Description:_x000D_
_x000D_
The proposal presents a plan to create the Big Sky Data Science Institute (BSDSI) at Montana State University, envisioned as a regional data science hub in the Northern Rocky Mountain Region. The proposal sets three research aims centered on topological data analysis, graphs and networks, and data integration, respectively. A fourth educational and outreach aim includes curriculum development, organization of workshops, and various outreach activities. _x000D_
_x000D_
Intellectual Merit:_x000D_
_x000D_
Strengths:_x000D_
+  The proposed research is rich, interesting, and fits data science._x000D_
_x000D_
Weaknesses: _x000D_
- There is a lack of coherence among the many proposed problems._x000D_
- The plan for attacking some of the proposed problems lacks convincing details._x000D_
_x000D_
Broader Impacts:_x000D_
_x000D_
Strengths: _x000D_
+ The PIs proposed a large number of interesting educational and outreach activities._x000D_
_x000D_
Weaknesses: _x000D_
- some panelists felt that the broader impacts are fairly standard._x000D_
_x000D_
_x000D_
TRIPODS-specific criteria: _x000D_
_x000D_
Strengths _x000D_
_x000D_
+ The educational and research activities seem to be well integrated at all levels._x000D_
_x000D_
Weaknesses: _x000D_
_x000D_
- Lack of details on the coordination of some of these activities._x000D_
- Phase 2 development was discussed, but details are lacking for some of the proposed activities._x000D_
_x000D_
Collaboration and Evaluation Plan: This is explained well._x000D_
_x000D_
Data Management Plan: The Data Management Plan is thoroughly written and appropriate._x000D_
_x000D_
Post-doctoral Mentoring Plan: The Postdoctoral Mentoring Plan is appropriate._x000D_
_x000D_
Suggestions to PI: Provide more convincing details for research plan. Select the list of research problems that are more coherent. _x000D_
_x000D_
Justification for Panel Rating: The panel appreciates the broader impacts and the TRIPODS specific aspects of the proposal. But they also felt that the proposed research could have been presented with a more convincing plan, and the proposed center activities could have been provided with more details on coordination._x000D_
_x000D_
Panel Rating: _x000D_
_ Highly Recommended _x000D_
_ Recommended _x000D_
X Not Recommended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</si>
  <si>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presents a plan to create The Big Sky Data Science Institute (BSDSI) at Montana State University, envisioned as a regional data science hub in the Northern Rocky Mountain Region. The proposal sets three research aims centered on topological data analysis, graphs and networks, and data integration, respectively. A fourth educational and outreach aim includes curriculum development, organization of workshops, and various outreach activities._x000D_
_x000D_
For each of the three research aims, the proposal identifies specific research objectives indicating some interaction among mathematics, statistics and theoretical computer science. Although many of the problems seem to be interesting and relevant to progress in foundations of data science, it is not clear to this reviewer that the proposal makes a case that is compelling enough for a data science institute in terms of research breadth and vision. The discussion of some research topics is too vague, not even indicating general lines of thinking to address the problems, as exemplified by the discussion of new, stable topological descriptors for persistent homology, more amenable to statistical analyses. In some other cases, it was not completely clear to what extent the PIs would be addressing foundational issues, as opposed to more practical matters, as exemplified by the proposed work on non-traditional PCA. To reiterate, many of the research problems do seem to be very interesting and relevant, but what is proposed may not be sufficient to provide the foundations for a data science institute. _x000D_
_x000D_
The PIs propose to organize annual two-day summer workshops. I find these insufficient to develop Phase II capabilities. Week long workshops with more activities and broader participation would have strengthened the proposal. The budget allocates funds for the PIs to attend several national and international conferences throughout the project, as well as a significant amount to senior personnel salary (especially in Year 1). A larger investment in workshops and other center-like activities to increase productivity, reach and visibility of the institute probably would be better uses of the resources. This seems to indicate that the vision for a data science institute still has some pretty rough edges._x000D_
_x000D_
In the context of the five review elements, please _x000D_
evaluate the strengths and weaknesses of the proposal with respect to broader impacts._x000D_
_x000D_
The PIs anticipate that the proposed research will have an impact on understanding social networks, biofilm research, and precision agriculture. This is based on projected collaborations with domain experts, which strengthens the proposal. (Noteworthy is the fact that Montana State is a leading center for biofilm research.) The PIs also propose training and outreach activities geared toward groups such as female middle school students, students from rural and tribal communities, and high school STEM teachers. The projected outreach activities look promising and will be coordinated in partnership with MSU Extended University. I only note that the proposal does not seem to clearly describe the roles of project personnel in these activities. The plan looks pretty solid otherwise._x000D_
_x000D_
Please evaluate the strengths and _x000D_
weaknesses of the proposal with respect to any additional solicitation-specific review criteria, if _x000D_
applicable_x000D_
_x000D_
The educational and research activities seem to be well integrated at all levels. The mathematics department and the school of computing already have received approval to develop an MS in data science, the PIs expect to develop undergraduate curriculum in data science and offer several mini-courses at the graduate level. Additionally, a Data Science Lab will offer opportunities for students to deal with data problems arising in industry. The project also will support postdocs and graduate students._x000D_
_x000D_
In addition to the interdisciplinary research agenda, the proposal addresses other broad themes such as application-aware data science, interactions with domain scientists, and development of interdisciplinary communication skills. As already noted, details are lacking on how some of these activities will be structured and coordinated. The project will bring together complementary expertise, but I would have liked to see a stronger characterization of the value of the collaboration. The proposal also describes other activities for developing Phase II capabilities such as the development of an online research network and a colloquium series, but the specific roles of the investigators do not seem to be spelled out in the proposal._x000D_
_x000D_
An evaluator with experience in culturally responsive curricula and assessments will coordinate evaluation using qualitative and quantitative data. The plan addresses ongoing evaluation of both progress in Phase I and development of capacity for Phase II operations using objective measures of success. The evaluation plan seems to be well crafted. An Executive Committee will use the information to improve the institute operations._x000D_
_x000D_
Summary Statement_x000D_
_x000D_
The proposal presents a vision for a regional data science institute that integrates application-aware foundational research, education and training, and various outreach efforts. The proposed research program addresses many interesting problems, but I find that it does not make a case that is compelling enough for a data science institute. The education and training components are solid and the promised outreach activities seem to be promising, but some details are lacking._x000D_
_x000D_
I place this proposal in the middle third of those I have read._x000D_
_x000D_
</t>
  </si>
  <si>
    <t xml:space="preserve">In the context of the five review elements, please _x000D_
evaluate the strengths and weaknesses of the proposal with respect to intellectual merit._x000D_
_x000D_
The proposal seeks to establish the Big Sky Data Science Institute (BSDSI) at the Montana State University (MSU). _x000D_
_x000D_
The proposed research will include (1) Topological approaches to data science, (2) Graph- and network-based geometric approaches to data science, (3) Integrating mixed-type data. Such foundational work will then be informed by real-world case studies in domain areas including (1) the analysis of multi-modal social data and networks to predict civil unrest, (2) multi-modal biological data of biofilms and biological systems in extreme environments (MSU is a leading center for this research), and (3) data science applications in precision agriculture._x000D_
_x000D_
In regarding for training and outreach activities, the team proposes a variety of activities including undergraduate/graduate curriculum development, three to six 5-week minicourses for postgraduates, an REU program with detailed provided in an REU supplement, a Data Science Lab that allows hands on activities for students, three summer workshops on the three research topics with one workshop per summer,  colloquium with online broadcast via WebEx,  recruitment of Underrepresented Populations and Outreach, and working with the MSU Extended University to offer some online training programs in Data Science during Phase II of the project if funded._x000D_
_x000D_
The proposed research is in mainstream data science and makes good expertise from the three communities.  The center like activities are very rich, and perhaps too many. While it makes me wonder if the team can really get all the work done, I am giving them the benefit of the doubt, and take this as positive._x000D_
_x000D_
_x000D_
In the context of the five review elements, please _x000D_
evaluate the strengths and weaknesses of the proposal with respect to broader impacts._x000D_
_x000D_
The broader impacts are quite good._x000D_
_x000D_
Please evaluate the strengths and _x000D_
weaknesses of the proposal with respect to any additional solicitation-specific review criteria, if _x000D_
applicable_x000D_
_x000D_
_x000D_
_x000D_
Summary Statement_x000D_
_x000D_
This is a well-written proposal from a group of researchers with a good synergy._x000D_
_x000D_
</t>
  </si>
  <si>
    <t xml:space="preserve">In the context of the five review elements, please _x000D_
evaluate the strengths and weaknesses of the proposal with respect to intellectual merit._x000D_
_x000D_
The proposal proposes topological approach and graph/network-based approach to handle data, especially high-dim data. The proposal further discusses sampling techniques for collecting multi-model data and projecting high-dim data to lower dimension.   The PIs list many problems and proposed research question(s) for each. They range from PCA, to subsampling large datasets, sparsification of data/graphs/networks while producing quality results, to primal-dual methods, convex optimization etc. Overall, there is a rich body of proposed work, but all quite disjoint from one another. _x000D_
_x000D_
To tie together these very many research problems, the PIs propose the following unifying questions: whether interdisciplinary approach can be the winning idea in data science research? Whether interdisciplinary curricula (cs, math, stats) can train students to attack complex data science problems. Unfortunately, such questions are rather generic and can be applied to almost every proposal on this panel. _x000D_
_x000D_
The proposal does a good job describing the curriculum development, undergrad research program, labs for data science research, outreach to underrepresented groups, etc. _x000D_
_x000D_
Overall, there is good substance in intellectual merit, though organization can be improved. _x000D_
_x000D_
_x000D_
In the context of the five review elements, please _x000D_
evaluate the strengths and weaknesses of the proposal with respect to broader impacts._x000D_
_x000D_
The broader impact (training/outreach STEM activities, dissemination of results) is fairly standard, somewhat weaker than the intellectual merit section._x000D_
_x000D_
Please evaluate the strengths and _x000D_
weaknesses of the proposal with respect to any additional solicitation-specific review criteria, if _x000D_
applicable_x000D_
_x000D_
_x000D_
_x000D_
Summary Statement_x000D_
_x000D_
Overall, this is fine proposal, lots of interesting problems proposed by competent PIs.  Broader impact can be more creative and intellectual merit can be more coherent from one problem to next._x000D_
_x000D_
</t>
  </si>
  <si>
    <t>The Big Sky Data Science Institute (BSDSI) at Montana State University (MSU) will focus on research questions stemming from multimodal and multiscale data problems through the lens of topological, graphical and network analysis. Our key interest is innovative multiscale representations, enabling us to access data and derived features, as well as to make inferences from them, at multiple levels of resolution._x000D_
_x000D_
Our aim is to develop novel and computationally-efficient data analysis approaches that unlock key insights at multiple scales of data, ranging from local to global properties and features. In the particular context of ``big data'' where the (luxury) problem consists of an overabundance of data---in terms of number of data points or data dimensionality---we focus on questions of optimal representation, computational efficiency, exploiting sparsity through optimal sampling and dimensionality reduction, model relaxations and approximations, as well as robustness and resilience of methods in this respect.Planned research thrusts include: (1)  Topological approaches to data science: We will emphasize the development of multi-dimensional persistence, and statistical approaches to TDA.  (2)  Graph- and network-based geometric approaches to data science: We will develop novel multi-scale and sparse construction and representation of graphs and networks, with the goal of extracting, aligning, calibrating and matching, at multiple scales, novel information from high-dimensional multi-modal data. This will involve exploring graph-based geometrical approaches to the analysis of data-sets, such as local and scale-dependent dimension, graph morphology and skeletonization; exploring graph sparsification; proposing efficient algorithms for computing PCA, mean-curvature motion, and PDE on graphs for multiscale representation of and information extraction from networks.  (3) Integrating mixed-type data: We will establish adaptive sampling techniques for efficient collection of multi-type data that will incorporate projections of multi-modal data into low-dimensional spaces and leverage techniques such as multi-scale representation and spectral methods for a more unified framework for extracting knowledge from mixed types of data.Foundational work will be informed by real-world case studies in a variety of domains including (1) the analysis of multi-modal social data and networks to predict civil unrest, (2) multi-modal biological data of biofilms and biological systems in extreme environments (MSU is a leading center for this research), and (3) data science applications in precision agriculture. _x000D_
_x000D_
BSDSI will build capacity at MSU and within the greater Northern Rockies region for collaborative data science, with a particular emphasis on education at multiple levels and STEM workforce development. The majority of the PIs are junior faculty across mathematics, computer science and statistics; BSDSI would catalyze interdisciplinary data science research among the next generation of faculty at MSU.  The institute would host regional workshops and conferences on data science, colloquia and online webinars, REUs and summer schools focusing on the foundations of data science, and would develop an interdisciplinary minicourse series geared towards domain scientists, faculty, and graduate students._x000D_
_x000D_
BSDSI will define, develop, and implement new undergraduate and graduate data science curricula at MSU that integrate and span the three core disciplines of computer science, mathematics, and statistics. Graduates of these degree programs will gain the foundational knowledge and skills to join the data science workforce. Outreach activities will focus on introducing female students in grades 6, 7, and 8 to data science ideas and research, with outreach activities expanding to include high school STEM teachers planned for Phase II.</t>
  </si>
  <si>
    <t>1740807</t>
  </si>
  <si>
    <t>Abbe</t>
  </si>
  <si>
    <t xml:space="preserve"> Panel Summary       
 Description:_x000D_
_x000D_
This is a proposal on extracting meaningful structure from complex and noisy data.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The project will support 2 postdocs and 3 PhD students, and the center will interact with researchers other than the personnel listed here. The PIs will organize annual workshops, and research visits from outside researchers. They will also establish a relationship with statistical physics. The center will review the curriculum to streamline courses that relate to DS into a coherent track. _x000D_
_x000D_
Intellectual Merit:_x000D_
_x000D_
Strengths_x000D_
_x000D_
- Altogether it was felt that the depth of research component of this proposal was very strong with a good high level vision._x000D_
_x000D_
- The group is well qualified; it can be expected that the research results will be significant._x000D_
_x000D_
- The problems are important and interesting; taken together, they form a sum that is appropriate for bringing these groups together._x000D_
_x000D_
- There is a detailed discussion of the research problems that was appreciated._x000D_
_x000D_
Weaknesses_x000D_
_x000D_
- There was a general feeling that the group might have benefited from the addition of expertise from one or more groups (eg algorithms, classic statistical theory, statistical physics, applied math)._x000D_
_x000D_
- The research program is a bit lacking in breadth as presented; it is not clear how this would expand over the years. Also the proposed work would benefit from more "foundational" content._x000D_
_x000D_
Broader Impact:_x000D_
_x000D_
Strengths_x000D_
_x000D_
- Training program for graduate and undergraduate students/postdocs._x000D_
_x000D_
- Involvement of students/faculty outside those immediately involved in the work._x000D_
_x000D_
- Outreach for middle/high school students._x000D_
_x000D_
TRIPODS-specific criteria:_x000D_
_x000D_
Strengths_x000D_
_x000D_
- Natural synergy among participants, with a good technical vision. The roles of the participants in each part of the project make sense towards bringing a common language and interdisciplinarity to the work._x000D_
_x000D_
- The fact that Princeton does not at this time have a Stats department nor a DS center is a good argument for having a center like this that might fill those gaps._x000D_
_x000D_
- The existing industrial relationships as well as the interaction proposed to nurture those will be useful for the project, from a technical as well as training point of view._x000D_
_x000D_
- The workshops and visiting researcher programs will have good impact._x000D_
_x000D_
Weaknesses_x000D_
_x000D_
- Altogether, the panel felt that the strength of this proposal was in its research section and the vision/logistics issues related with establishing a center are less strong._x000D_
_x000D_
- Given the focused description of research, it is not clear that this would eventually form the basis of an entire Phase I or Phase II center._x000D_
_x000D_
- It is not made clear whether the industry contacts have an eye for applications, or they themselves are theoretical researchers in research labs. The two cases will have different outcomes._x000D_
_x000D_
- The education plan could be stronger and more concrete, possibly with plans to develop one or more new degree programs._x000D_
_x000D_
- Some concrete description of how this process might segue to a Phase II operation would be useful._x000D_
_x000D_
_x000D_
Collaboration and Evaluation Plan: _x000D_
_x000D_
Collaboration plan is strong. While goals for the project are explained, the measures of success could be stronger and some panelists suggested forming an (external) review board to evaluate strengths and weaknesses of the Phase I institute as well as progress towards Phase II._x000D_
_x000D_
_x000D_
Data Management Plan: _x000D_
_x000D_
Adequate_x000D_
_x000D_
Post-doctoral Mentoring Plan: _x000D_
_x000D_
Adequate_x000D_
_x000D_
Justification for Panel Rating: _x000D_
_x000D_
Overall, the panel felt that the proposal's strength was more in research. More thought on center-related issues (and possibly a broader base for the group) would improve this proposal significantly._x000D_
_x000D_
Panel Rating:_x000D_
_x000D_
_ Highly Recommended_x000D_
_x000D_
X Recommended_x000D_
_x000D_
_ Not Recommended_x000D_
_x000D_
_x000D_
The summary was read by/to the panel and the panel concurred that the summary accurately reflects the panel discussion._x000D_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</si>
  <si>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Structure, Randomness, and Information in Data Science_x000D_
_x000D_
L: 1740807 Abbe, Emmanuel Princeton University $ 1,500,000_x000D_
_x000D_
_x000D_
P172027 R TRIPODS Panel 1, Recommended (E/V,V,V/G)_x000D_
Std competition rank 6 of 30 rated projects: 2 HR, 8 R, 11 NR, 9 NDP, on 5/17/2017_x000D_
_x000D_
_x000D_
PROJECT OVERVIEW_x000D_
This is a proposal on extracting meaningful structure from complex and noisy data. The research themes of this_x000B_proposal consist of (1) studying phase transition algorithms for combinatorial objects such as networks/trees; (2)_x000B_studying properties of a general data learning and compression framework proposed recently; (3) using convex_x000B_optimization ideas for statistical learning. The project will support 2 postdocs and 3 PhD students, and the center_x000B_will interact with researchers other than the personnel listed here. The PIs will organize annual workshops, and_x000B_research visits from outside researchers. They will also establish a relationship with statistical physics. The center_x000B_will review the curriculum to streamline courses that relate to DS into a coherent track._x000D_
_x000D_
INTELLECTUAL MERIT  The research component of this proposal was universally liked, with the PIs having a track record in the areas of Machine Learning and inference from graphs, and clustering as well as good problems proposed.  Center formation was a weakness. _x000D_
_x000D_
BROADER IMPACTS Good training program for graduate and undergraduate students/postdocs, and outreach to middle &amp; high school.  Collaboration with industry Is mentioned, but details would have been appreciated (e.g., there are no letters of collaboration.) _x000D_
_x000D_
REVIEW SUMMARY All reviewers agreed that the research proposed was excellent, but that institute building was "uninspired" (the V/G reviewer)  or "weak" (the E/V reviewer).  And the V reviewer, calling it "one of my better" and acknowledging the importance of having a center at Princeton, still said, "Research too specialized for Foundations of data science." 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t>
  </si>
  <si>
    <t xml:space="preserve">In the context of the five review elements, please _x000D_
evaluate the strengths and weaknesses of the proposal with respect to intellectual merit._x000D_
_x000D_
This is a proposal by four PIs from Princeton on extracting meaningful structure from complex and noisy data. In particular, they list their areas of focus as phase transitions and algorithms in combinatorial statistics; unsupervised learning and compression; nonconvex learning and the geometry of random processes. In terms of research topics the proposal is broad and ambitious heavy on learning, naming combinatorial statistics: phase transitions and algorithms, unsupervised learning and compression,  and learning, optimization, and the geometry of random processes. Given the makeup of the PIs, the proposal is randomness/optimization/learning heavy. The rationale is explained as Princeton being in need of such a center; such a center (or even a statistics department, currently) does not exist in Princeton, and it would be a high return endeavor to establish one. The PIs are from CS, EE, and math(2). The CS member has expertise in optimization and ML, which would fit nicely into the narrative. _x000D_
_x000D_
The project will support 2 postdocs and 3 PhD students, and the center will interact with researchers other than those and the PIs. The PIs will organize annual workshops, and research visits from outside researchers. They will also establish a relationship with statistical physics (would have been nice to include someone from the area in this proposal). The center will review the curriculum to streamline courses that relate to DS into a coherent track. (There does not seem to be a concrete plan for a separate program.)_x000D_
_x000D_
The PIs have connections to industry (Bell Labs, Google, Microsoft -- is not made clear if those are true industry contacts or research scientist at those institutions--each would imply a different direction). In addition to benefiting the research community and the students, the PIs plan outreach DS activities promoting STEM (similar to the Julia Robinson mathematics festival)._x000D_
_x000D_
In terms of a long term vision and the roles of the individual PIs, this proposal works well. The roles and the rationale for including the PIs to for a synergistic whole are clearly explained. There is also a discussion on the need for developing a common terminology among the three disciplines. _x000D_
_x000D_
In terms of applications and industry involvement, companies are named, but their roles are not clearly explained. At this point it is not clear to me whether the intent is just to collaborate with people in research labs, or to work towards to needs of applications. The team is strong, with clear learning, optimization, statistics, and pure math strengths.  Also, they are fortunate to be located at the hub of tremendous activity in all three fields. There are other centers located nearby -- it would be good to think about interacting with them, especially when one positions oneself towards Phase II._x000D_
_x000D_
I did not see explicit plans for developing degree programs, or other concrete educational opportunities. Rather, the proposal focuses on streamlining the curriculum. However, there are activities explicitly mentioned that would benefit students of all levels, including middle and high school._x000D_
_x000D_
In the context of the five review elements, please _x000D_
evaluate the strengths and weaknesses of the proposal with respect to broader impacts._x000D_
_x000D_
This proposal has a section where the PIs talk about STEM and/or mathematical outreach to middle and high school students. Other than that, the broader impacts are related to the research and student community._x000D_
_x000D_
Please evaluate the strengths and _x000D_
weaknesses of the proposal with respect to any additional solicitation-specific review criteria, if _x000D_
applicable_x000D_
_x000D_
The proposal does present a well integrated plan; it is also pretty clearly explained. It does address the broad themes of this program, with a clear vision. The training component is not as explicit as it could be; to me it seems to be presented as an afterthought. While ML can be well within TCS, if one is talking about preparing DS courses within TCS, not having an algorithmic component leaves a hole behind. I'd like to suggest the PIs to consider this in their course development plans._x000D_
_x000D_
The collaboration within the group as described is natural and feasible; it is likely to produce valuable research. It is not clear to me what the extent of the collaboration will be between the group and domain sciences/industry though. The plan for evaluating success and the path towards Phase II are not very concrete; the thought seems to be that if the collaboration is productive and the hiring goes well Phase II will be reasonable. This is not in itself an unreasonable thought, but perhaps a more concrete plan of evaluation and action could be drawn._x000D_
_x000D_
Summary Statement_x000D_
_x000D_
This is a good proposal, it could benefit from some further thinking on the logistics and vision of a center._x000D_
_x000D_
</t>
  </si>
  <si>
    <t xml:space="preserve">In the context of the five review elements, please _x000D_
evaluate the strengths and weaknesses of the proposal with respect to intellectual merit._x000D_
_x000D_
Although it lacks a TCS member whose main home is FOCS and STOC, nearly all the PIs publish in these conferences.  Perhaps it lacks a true applied math person ... although the lines are very blurry here. The Pis make an interesting argument that the disbanding of the statistics department at Princeton makes it particularly valuable to locate a TRIPODS Institute there... but this won't be in a vacuum, given Princeton's strengths in theoretical areas._x000D_
_x000D_
The proposal has a very good top-level vision and then dives into specific problems - further work on stochastic block models, a relatively unstudied but interesting general approach to unsupervised learning, a cursorily-described extension of this to semi-supervised learning, and various formulations on non-convex optimization._x000D_
_x000D_
In this case, the specific problems seem important enough that they add up to the overall vision and the proposal lays out the roles of the 3 disciplines very well._x000D_
_x000D_
For Center building, the project will involve not only the post-docs and grad students supported by this project, but also grad students funded elsewhere and undergrads, whose research interests are aligned._x000D_
_x000D_
_x000D_
The synergy between the communities is very good. Even if the PIs haven't written papers together already, it is clear that each topic can draw on the expertise of more than one of the PIs._x000D_
_x000D_
There is some thought given to fostering industry collaborations by having talks by people from industry on problems of interest, and by using the methods the PIs develop to work on problems that practitioners care about._x000D_
_x000D_
There are a number of relevant courses that the PIs already teach in the area. The proposal seeks to harmonize these courses. Nevertheless the curricular plans are not as ambitious as they could have been and it is not clear how substantially the course offerings at Princeton would change if this project were funded._x000D_
_x000D_
_x000D_
_x000D_
_x000D_
_x000D_
In the context of the five review elements, please _x000D_
evaluate the strengths and weaknesses of the proposal with respect to broader impacts._x000D_
_x000D_
Broader impacts are a little pro forma... but the idea that this center will help coalesce Statistics at Princeton is an interesting one. There is some talk of connection with industry._x000D_
_x000D_
What is the potential for the proposed activity to benefit society or advance desired societal outcomes (Broader Impacts)?_x000D_
_x000D_
Nothing explicit here... only that unsupervised learning is an especially important problem that can advance desired societal outcomes._x000D_
_x000D_
Please evaluate the strengths and _x000D_
weaknesses of the proposal with respect to any additional solicitation-specific review criteria, if _x000D_
applicable_x000D_
_x000D_
Yes, the proposal does a good job of presenting a well-integrated program that will advance the foundations of data science. It addresses the broad themes of the call. By involving more undergrads and grad students than can be supported by this proposal, it will help with work force development.   _x000D_
_x000D_
The proposal is on a good path to Phase II. The vision is broad and the specific problems considered are also likely to be of broad interest. There is a plan to have workshops and to invite collaborators for short-term visits, but this kind of outreach is less extensive than in other proposals submitted to the program._x000D_
_x000D_
The expertise of the PIs is partly overlapping and partly complementary, which is probably a good situation. _x000D_
_x000D_
There is a decent collaboration plan, but no evaluation plan._x000D_
_x000D_
Summary Statement_x000D_
_x000D_
Very good team with some good specific questions to work on._x000D_
_x000D_
</t>
  </si>
  <si>
    <t xml:space="preserve">In the context of the five review elements, please _x000D_
evaluate the strengths and weaknesses of the proposal with respect to intellectual merit._x000D_
_x000D_
+quite technical research proposed _x000D_
+some of the research themes are important and interesting in corresponding field _x000D_
_x000D_
- not enough foundational theory proposed_x000D_
-lack of new contributions beyond their previous work_x000D_
_x000D_
In the context of the five review elements, please _x000D_
evaluate the strengths and weaknesses of the proposal with respect to broader impacts._x000D_
_x000D_
+the proposal has a very solid education plan including training for the postdocs and students (both graduate and undergraduate), and other reeducation activities such as seminars and workshops_x000D_
_x000D_
- there is concern for the lacking of  the broadness of the proposed research, thus might impede the impact of the proposal_x000D_
_x000D_
Please evaluate the strengths and _x000D_
weaknesses of the proposal with respect to any additional solicitation-specific review criteria, if _x000D_
applicable_x000D_
_x000D_
_x000D_
_x000D_
Summary Statement_x000D_
_x000D_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While I find the proposed research valuable, it seems that the research is too specialized for a (theoretical) foundational proposal.  Specifically, the PIs propose to study the phase transition phenomenon beyond the Erdos-renyi model, and then continue on studying the specific stochastic  block model (for which two of the PIs are experts). The second theme of the research is on studying properties of a general learning/compression framework for unsupervised learning proposed by one the PIs early work in Hazan and Ma (2015).  While the framework is very general which encompasses the traditional PCA, dictionary learning or even clustering, it does not solve the problem that it requires a representation or a class of 'encoding' algorithms for the data.  There do not seem to be any significantly new ideas here. The third theme proposes to employ the geometry of random processes (largely empirical processes) for statical learning which is closely related to some classical ideas such as memorizations. the research is apparently important, interesting and technical, but it just serves as some technical generalization of the original ideas by Talagrand. There do not seem to enough new foundational  advances here._x000D_
_x000D_
Another concern is that the team seems to be largely consisting of researchers from statistical learning, the synergistic activities across math, CS and stat are slightly in question. For example, can one involve some more classical stat theory person from ORFI?_x000D_
_x000D_
The strengths of the proposal:_x000D_
+qualified team_x000D_
+technical research plan _x000D_
+a very comprehensive education plan which proposes to involve at least 2 postdocs and three graduates at the core of the program _x000D_
+has a plan for Phase II by involving more researchers from Princeton_x000D_
_x000D_
</t>
  </si>
  <si>
    <t>The ultimate challenge of data science is to extract meaningful structure from complex and noisy data. The recent decade has seen unprecedented success in applying statistical techniques to extract information from large-scale data sets. At their core, however, many such techniques are still based on sophisticated variants of simple regression models. While such models have great appeal as they give rise to a rather general, unified theory, they can only provide a crude (albeit very useful) caricature to the structures that arise in many real-world problems. The PIs believe that major advances in our ability to extract structure from data will require a genuinely nonlinear perspective on many core problems of direct relevance to the practice of data science. For example, numerous complex inference problems involve random processes on combinatorial structures such as networks (graphs), communities (partitions), phylogenies (trees), or preferences (permutations). Likewise, in one of the major areas of learning theory, unsupervised learning, it is not clear in general how to represent structure in unlabeled data, and new structures must be identified to serve as the foundation for such problems. In addition, a genuinely nonlinear approach brings fundamental computational challenges whose resolution is crucial to the practical relevance of the theory._x000D_
One of the main barriers towards progress in these directions is that such statistical problems cannot be studied in isolation, but go hand in hand with the fundamental development of areas such as probability, statistical physics, information theory, combinatorics, high-dimensional analysis and geometry, and theoretical computer science, that deal with the investigation of the corresponding structures. Major progress in this direction will require a concerted effort to build bridges between different disciplines, and a rethinking of the manner in which graduate students and postdocs are trained in the foundations of data science._x000D_
The present proposal constitutes a significant investment in this direction through the collaborative effort of the four PIs with core expertise in different areas of computer science, statistics, and mathematics, all of whom have a long-standing track record of interest in and contributes to problems of data science. The proposed TRIPODS center will catalyze the creation of long-term research interactions by enabling integrated research and training activities transcend traditional disciplinary boundaries.The research focus in the Phase I center will center on a number of themes that exemplify the broader vision outlined above: phase transitions and algorithms in combinatorial statistics; unsupervised learning and compression, nonconvex learning and the geometry of random processes. In each of these topics, significant progress will require the combined expertise from different areas of mathematics, statistics, and computer science. Significant progress on these topics will push the boundaries of our understanding of statistical and computational issues in complex network models, and will provide new insights on the foundations of the theory of unsupervised learning. This broader research program will also provide the impetus for cross-disciplinary training and innovative curricular developments.The center will contribute to development of the scientific workforce by training graduate students and postdocs, by integrating undergraduate students in the centers research activities, and by developing a postmodern curriculum that will facilitate the interdisciplinary training of future generations of students in fundamental topics for contemporary data science. The center will engage in active outreach to middle and high school students to promote interest in and excitement for STEM fields and for data science in particular. The center will also foster collaborations with industry and other practitioners in order to maximize the impact of its research program. While the focus of the centers research is on foundations, problems of combinatorial statistics and machine learning that lie at the heart of this proposal have direct implications for many problems of interest to industry partners, such as clustering data from knowledge graphs, clustering users in cellular networks, and analyzing the folding structure of DNA. The implementation of our algorithms on real data will also provide new opportunities for the training of students.</t>
  </si>
  <si>
    <t>1740808</t>
  </si>
  <si>
    <t>Lerman</t>
  </si>
  <si>
    <t xml:space="preserve"> Panel Summary       
 Description: Proposes research directions in large-sample problems, high-dimensional problems, statistical-computational trade-offs, non-convexity._x000D_
 _x000D_
Intellectual Merit: Proposes new questions and optimization problems to tackle statistical learning challenges not already well-solved, such as heavy-tailed data, structures other than sparsity, and finding ways to avoid or set hyper-parameters without validation sets. _x000D_
 _x000D_
Strengths: _x000D_
+ Research questions driven in part by collaborative discussions with industrial partners. _x000D_
+ Research questions are interesting and state of the art._x000D_
+ Researchers have solid expertise and track records to tackle the proposed work._x000D_
 _x000D_
Weaknesses: _x000D_
- Comes across as a great list of individual projects rather than a cohesive vision._x000D_
- The focus is largely on machine learning, which seems too narrow to some reviewers, and we could not identify a strong theoretical computer science effort._x000D_
 _x000D_
Broader Impact:  The broader impact plan focuses on inspiring  students across disciplines to engage in the data sciences._x000D_
 _x000D_
Strengths:_x000D_
+ Plan for posting videos of talks is a great way to scale dissemination_x000D_
+ New transdisciplinary data courses for undergrads and graduate students are planned, including a no-prerequisite course with local colleges to encourage a broader set of students to discover the data sciences._x000D_
 _x000D_
Weaknesses:_x000D_
-  Data contest plan sounds great, but not clear what the new contribution would be from this grant._x000D_
 _x000D_
Tripods-Specific Criteria: _x000D_
 _x000D_
Strengths:_x000D_
+ The grant is reflective about how they would want to find a partner institution to build a strong Phase II proposal._x000D_
 _x000D_
Weaknesses: _x000D_
- Research synergies across theoretical data sciences are not clearly communicated._x000D_
- Phase II transition plan is not sufficiently compelling._x000D_
 _x000D_
Data Management Plan: Great plan with collaboration with University Digital Conservancy and legitimate plans for data sharing._x000D_
 _x000D_
Post-doctoral Mentoring Plan: A fine plan including explicit community gatherings centered on sharing research._x000D_
 _x000D_
What is bold, exciting, high risk/reward, or potentially transformative?: There are many great, forward-looking problems in statistical learning._x000D_
 _x000D_
Suggestions to PI: Re-submit these proposals to calls for more focused research programs._x000D_
 _x000D_
Justification for Panel Rating:  _x000D_
 _x000D_
Panel appreciated the forward-looking statistical learning research questions, but concerns were (i) that it was a bit narrow in its focus on statistical learning without relatively strong theoretical computer science foundations; and (ii) that the synergies between the PI's was not made clear such that it came off as a list of disconnected good individual proposals. _x000D_
 _x000D_
The diffuseness of the proposed efforts sapped a bit from the broader impact story, though the connections to industry were appreciated. _x000D_
 _x000D_
Panel Rating:_x000D_
_Highly Recommended_x000D_
_Recommended_x000D_
X Not Recommended_x000D_
 _x000D_
The summary was read by the panel and the panel concurred that the summary accurately reflects the panel discussion.  _x000D_
 _x000D_
 _x000D_
</t>
  </si>
  <si>
    <t xml:space="preserve">Dear Professor Lerman,_x000D_
_x000D_
I regret to inform you that the NSF proposal CCF 1740808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DMS 1740808 _x000D_
Title: Transdisciplinary Foundations of Data Science _x000D_
PI: Gilad Lerman, Arindam Banerjee, Jeffrey Calder, Lan Wang, Hui Zou _x000D_
Institution: University of Minnesota -- Twin Cities_x000D_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The research agenda in this proposal emphasizes high sample problems where algorithmic advances are needed, high-dimensional problems where the number of covariates can  exceed the number of training samples, and problems involving resource trade-offs and non-convex formulations. The PIs propose to develop an industry-driven data science curriculum._x000D_
_x000D_
Broader impacts described in the project summary include the development of curricula with documentation for export to other campuses, engagement with undergraduates through a DataFest competition, and work with graduate students and postdoctoral researchers._x000D_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V, V/G, and V/G._x000D_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</si>
  <si>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This project based at the University of Minnesota focuses on different approaches to choosing models and methods for machine learning based on the structure of the data. The goal seems to be focusing on more general assumptions of the data, particularly data drawn from high-dimensional and heavy-tailed distributions and developing both new tools and mathematical techniques to analyze and optimize these algorithms. I'm not an expert in these areas, but the directions of research seem to be well-thought out._x000D_
_x000D_
The techniques are a nice combination of machine learning models, statistics and high-dimensional mathematics. The theoretical computer science piece is limited both in the proposed research and among the PIs, at least when it comes to those who publish in TCS venues. _x000D_
_x000D_
I do find the vision a little limited--focusing mainly on the machine learning aspects of data science and not so much on broader themes._x000D_
_x000D_
_x000D_
In the context of the five review elements, please _x000D_
evaluate the strengths and weaknesses of the proposal with respect to broader impacts._x000D_
_x000D_
One thing that makes this proposal stand out is an industry focus. The proposal claims that much of the research directions comes from industry, a need to find theory to match the actual kinds of challenges they find with their data, though I found it difficult to see that industry connection in the proposed research directly. There is also an educational focus with industry, such as targeted-MS programs that focus on a particular company's or industry's needs. _x000D_
_x000D_
There are some other course development in the proposal, including "transdisciplinary" data science courses for undergrads and graduate students. Some brief mention is given to connecting to other research programs across campus._x000D_
_x000D_
Please evaluate the strengths and _x000D_
weaknesses of the proposal with respect to any additional solicitation-specific review criteria, if _x000D_
applicable_x000D_
_x000D_
The proposal gives an interesting honest approach to building a center. Phase I starts building on the strong Institute for Mathematics and Its Applications at UMN. The PIs basically acknowledge they don't have the capabilities on their own and suggest combining with other midwest Phase I centers at UMN or elsewhere. It would have been stronger if this proposal already had another institution as a partner._x000D_
_x000D_
The center activities include the usual course development, workshop and seminars and making these activities accessible remotely. The "datafest competition" will be a good way to involve students in the center. There is already a good history of industry engagement that should continue well. _x000D_
_x000D_
The vision and measure of success isn't much more than achieving success on the activities mentioned. There is a nice method of surveys and interviews designed to make sure that goals are met._x000D_
_x000D_
_x000D_
Summary Statement_x000D_
_x000D_
There are many good things about this proposal. The research is focused, though perhaps a little too much so, with some good synergy between ML, stats and math. The IMA gives a good base to build a Phase I center. _x000D_
_x000D_
The weaknesses are lack of a broader vision and plan for phase II, and a lack of a major theoretical computer science leg._x000D_
_x000D_
</t>
  </si>
  <si>
    <t xml:space="preserve">In the context of the five review elements, please _x000D_
evaluate the strengths and weaknesses of the proposal with respect to intellectual merit._x000D_
_x000D_
Focus is on large-sample problems, high-d problems, and resource trade-offs and nonConvex formulations, including  robust tuning-free methods for possibly heavy-tailed data, 'structures beyond sparsity'._x000D_
_x000D_
Strong forward-looking, modern research questions, driven by collaborative discussions with industrial partners, but with new ideas and theory that academia can best provide.   _x000D_
_x000D_
Overall, the best written grant I read (thank you for the good writing!)_x000D_
_x000D_
In the context of the five review elements, please _x000D_
evaluate the strengths and weaknesses of the proposal with respect to broader impacts._x000D_
_x000D_
Strong sense of how the research questions and ideas fit into modern needs and the trajectory of data science.  Questions are modern and fresh, and can cross boundaries and build bridges easily between teams in computer science, statistics, and math. _x000D_
_x000D_
Not clear however that these problems will excite a broader audience (e.g. undergrads), but the well-written quality of the proposal gives strength to the hypothesis that this team *can* sell its work and its enthusiasm to a broader audience._x000D_
_x000D_
Please evaluate the strengths and _x000D_
weaknesses of the proposal with respect to any additional solicitation-specific review criteria, if _x000D_
applicable_x000D_
_x000D_
Questions are modern and fresh and fundamental enough to last 5 years, and can cross boundaries and build bridges easily between teams in computer science, statistics, and math._x000D_
_x000D_
Summary Statement_x000D_
_x000D_
Strong forward-looking, modern research questions, driven by collaborative discussions with industrial partners, but with new ideas and theory that academia can best provide from a team with demonstrated expertise._x000D_
_x000D_
</t>
  </si>
  <si>
    <t xml:space="preserve">In the context of the five review elements, please _x000D_
evaluate the strengths and weaknesses of the proposal with respect to intellectual merit._x000D_
_x000D_
+ The proposal has a strong exploratory component on a variety of topics at the interface of statistics and large scale applied mathematics._x000D_
+ The selection of topics is broad and relevant to current limitations._x000D_
+ The team includes a diversity of PIs, including from well established researchers._x000D_
_x000D_
- Some sections come across as afterthoughts rather than a systematic proposal_x000D_
- It is unclear whether  the team is qualified to carry out some of the research (e.g. bandits)_x000D_
_x000D_
In the context of the five review elements, please _x000D_
evaluate the strengths and weaknesses of the proposal with respect to broader impacts._x000D_
_x000D_
+ Strong educational plan_x000D_
_x000D_
- Somewhat limited for a project of this scope._x000D_
_x000D_
Please evaluate the strengths and _x000D_
weaknesses of the proposal with respect to any additional solicitation-specific review criteria, if _x000D_
applicable_x000D_
_x000D_
+ Evaluation plan is well thought out._x000D_
+ Budget towards institute meeting is a good allocation of funds._x000D_
_x000D_
- The various research projects could appear independently in regular proposals other than TRIPODS: it is not clear what synergies will come out. Furthermore, the proposal fails to exhibit synergies between various strengths that have not been already heavily exploited in the literature (e.g., convex relaxations)_x000D_
- Transition to Phase II is perfunctory._x000D_
- Does not come across as a center/institute._x000D_
_x000D_
Summary Statement_x000D_
_x000D_
The proposal presents some strong points regarding intellectual merit but is weaker in TRIPODS specific aspects._x000D_
_x000D_
</t>
  </si>
  <si>
    <t>The field of data science has witnessed extraordinary empirical success over the past decade across many domains, ranging from commercial to societal and scientific applications. This success has been attributed to "the unreasonable effectiveness of data". That is, if one can generate sufficiently large data, machine learning algorithms can be used to build high-quality models from the data. However, data can be reasonably ineffective in situations of few sample points in high dimensions, as is common with medical data, or in unsupervised settings, which require modeling and interpretation, and most importantly when rigorous physical models are needed. This failure calls for carefully assessing the character and properties of such problems.  As a result, the PIs propose academic research, training and activities that will address theoretical foundations of data science motivated by industrial needs._x000D_
_x000D_
In this project, the PIs propose to make foundational advances on three types of research problems: high-sample problems where algorithmic advances are needed, high-dimensional problems where the number of covariates can (far) exceed the number of training samples, and problems involving resource trade-offs and non-convex formulations. The PIs propose to develop an industry-driven data science curriculum. This will involve a collaboration with colleagues at Macalester College to develop a new broadly accessible introductory transdisciplinary data science course for undergraduates, as well as developing and teaching a new research-level graduate course co-taught by the PIs. The PIs will organize two data science hot-topics workshops every year, and invite several one-week visitors to the center with the goal of teaching short courses on emerging topics in data science. The PIs also plan to engage industrial partners in foundational data science researchIn September 2016, the PI co-organized an IMA hot topics workshop on "Transdisciplinary Foundations of Data Science", which drew many academic and industrial participants. Discussions with industrial leaders at the workshop raised several foundational criticisms of existing methods. First, existing algorithms for high-dimensional data typically make assumptions that are very restrictive in real-world settings. To address this issue, the proposed research considers foundational advances towards developing tuning free robust learning of high-dimensional models from potentially heavy tailed data, high-dimensional inference for non-standard regression problems, including error-in-variables regression and heteroscedastic regression, adaptive inference for high-dimensional problems, and generalization to structures beyond sparsity. Second, the efficiency of many learning and optimization algorithms relies on global properties that are often not satisfied in practice. To address this issue, the proposed research aims to investigate new families of learning and optimization algorithms whose efficiency depends on local properties, and new methods based on sample screening, all the while maintaining provable guarantees on rates of convergence. Third, industrial researchers have expressed strong interest in studying associated trade-offs across various aspects of learning problems as well as studying non-convex procedures. To address this, the PIs plan to focus on special nonconvex formulations with complicated landscapes and establish their theoretical guarantees.The foundational research advances will enable additional progress on several aspects of data sciences, and will be translated to technology in collaboration with industrial colleagues. The transdisciplinary curriculum development will be carefully documented so that it can be used at other Universities and Colleges. The PIs plan to encourage undergraduate students to develop basic data science knowledge via collaborations with local organizations. The PIs will organize the twin cities DataFest competition, which will engage a large audience of local undergraduates. The PIs will engage faculty across campus to develop necessary data science skills in their respective pursuits.  Courses and workshop will be videotaped and shared publicly with the research community and the general public. The award will support three graduate students in the first year and two postdoctoral researchers in the final two years. The PIs will encourage participation of under-represented groups in training and center like activities.</t>
  </si>
  <si>
    <t>1740810</t>
  </si>
  <si>
    <t>Mitzenmacher</t>
  </si>
  <si>
    <t xml:space="preserve"> Panel Summary       
  Description: The proposal focuses on two research areas - random matrix theory and dictionary learning. The proposal discusses the physical location of the center at Harvard at some length. It also talks about how they would scale to Phase II. The project description is surprisingly short, just 11 pages._x000D_
_x000D_
Intellectual Merit:_x000D_
Strengths _x000D_
+ Strong PIs and specific research questions involving all 3 disciplines_x000D_
Weaknesses _x000D_
- The proposal does not make clear how the work on random matrix theory will contribute to foundations of data science._x000D_
- Track record of PIs on proposed work unconvincing_x000D_
- Synergy and collaboration across disciplines unconvincing_x000D_
- Even though the 3 disciplines are represented by the PIs, there is not enough synergy between them_x000D_
_x000D_
_x000D_
Broader Impact: _x000D_
Strengths _x000D_
+ REU students_x000D_
+ Unspecified PhD level courses  to be developed_x000D_
Weaknesses _x000D_
- Minimal statement on broader impacts _x000D_
- No detailed curricular development plan_x000D_
- No specific application domain is driving the development of foundations, and the connection to industry is minimal_x000D_
_x000D_
_x000D_
TRIPODS-specific criteria:  _x000D_
Strengths _x000D_
+ Good description of Phase II Institute_x000D_
Weaknesses _x000D_
- The three disciplines do not seem to come together as one._x000D_
- No mention of workforce development _x000D_
- Not clear what benefits this project will confer to the broader community outside of Harvard_x000D_
_x000D_
Collaboration and Evaluation Plan: Very little here. Minimal description of the collaboration plan and unconvincing evaluation plan_x000D_
_x000D_
Data Management Plan: Adequate_x000D_
Post-doctoral Mentoring Plan: Adequate_x000D_
_x000D_
_x000D_
Justification for Panel Rating: Proposed research is on idiosyncratic topics that are too narrow to help lay the foundations of data science._x000D_
Panel Rating: _x000D_
_ Highly Recommended _x000D_
_ Recommended _x000D_
XNot Recommended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</si>
  <si>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aims to establish a Data Science (DS) Principles Center at Harvard. There are two institutes in Harvard that are already functional, or are being set up, and are related to this proposal: the Center of Mathematical Sciences and Applications (CMSA), and a DS Lab (in the works). The new center is supposed to be housed within the latter lab, and provide it with the foundational core that will support DS. The PIs will leverage the existing resources and organization, as well as the faculty strengths of the three departments at Harvard to set up a theoretical core for Phase I, and merge it with the plans already in place (awaiting funding) of a data Science Institute that will grow out of the CS lab, as well as the proposed Center, for Phase II. The PIs find themselves in a situation where such a center would fit nicely into what is already planned, and are looking or funding for it (which fits nicely into the TRIPODS initiative)._x000D_
_x000D_
The research program that the proposal lays out involves random matrix theory, applications of random matrices to statistical computing and multivariate statistics, and algorithms for large scale DS. The problems overlap with the expertise of the PIs as well as the other researchers who have written LoCs. The problems are presented very mathematically -- one can imagine applications for at least some of them involving, for instance, random graphs or dictionary learning, but they are not given here._x000D_
_x000D_
The PIs will be hiring 3 postdocs and 2 graduate students. There will be a seminar series, a conference, workshops, and a visitors program, which will be organized jointly with CMSA, and the DS Lab._x000D_
_x000D_
There were clearly articulated research topics related to big data, randomness, statistics. They do sit in the middle of the three disciplines, and would help build a bridge between them. The roles of each person in each is not explicitly stated, but one can imagine the need for each expertise for the questions. The problems are mathematical, industry/applications are not mentioned; one might expect the contributions to be foundational. There is a clear vision about bringing the three disciplines together under one roof and one language, but also about how this all fits into the larger whole of DS, in terms of research and training. The activities/vision is not novel, but at this stage of DS research, education, and knowledge, rigor and coherency is what one expects rather than novelty._x000D_
_x000D_
In the context of the five review elements, please _x000D_
evaluate the strengths and weaknesses of the proposal with respect to broader impacts._x000D_
_x000D_
The broader impacts will relate to students and researchers in the academic community. This proposal envisions their center as part of a bigger institute, through which they expect to segue into Phase II. This allows them to consider their impact in a more complete context, in the general framework of DS (rather than a foundational basis only). While the impacts are not very different from the other proposals I've read, the plans are articulated very clearly and precisely here (whether they can adhere to such a detailed timeline is unclear, but it shows that care went into the planning)._x000D_
_x000D_
_x000D_
Please evaluate the strengths and _x000D_
weaknesses of the proposal with respect to any additional solicitation-specific review criteria, if _x000D_
applicable_x000D_
_x000D_
I thought this was a carefully written proposal, with a strong team. They are in a position where the center they want to establish is already something that was desired and possibly somewhat planned, and what they need is the funding. This might be a timely flow of money which would be effectively used. There is a vision of how DS should benefit from the synergy of the individual groups, as well as how this project fits into general DS (that is not as theoretical). Perhaps the novelty or the surprise factor is missing since all or part of this seems to have been in the works, but I would not consider that a weakness. There is a clear and detailed plan, and a set of research topics that are mostly related to randomness that would bridge the multiple disciplines. I did not notice applications (perhaps school of public health?)/industry contacts. The collaboration/evaluation plan gives a detailed list of expectations from the PIs and the project, and outlines how the degree of adherence to those will be measured in order to assess progress._x000D_
_x000D_
Summary Statement_x000D_
_x000D_
Altogether a well written proposal, timely for Harvard. The research is not application-dependent, nor does it rely on special properties of big data (other than that it is big, mostly), but it is foundational work which is inherently suitable for collaboration among the areas. Synergy and future plans are outlined._x000D_
_x000D_
</t>
  </si>
  <si>
    <t xml:space="preserve">In the context of the five review elements, please _x000D_
evaluate the strengths and weaknesses of the proposal with respect to intellectual merit._x000D_
_x000D_
The project has three components:_x000D_
_x000D_
- research in random matrix theory (RMT)_x000D_
_x000D_
- potential applications of RMT_x000D_
_x000D_
- algorithms for big data_x000D_
_x000D_
The first project primarily concerns fundamental results in RMT.  As_x000D_
I interpret the described project, it deals with general questions_x000D_
about random matrices (typically, asymptotic results) which are in_x000D_
pure mathematics.  Thus, the project does not meet the TRIPODS_x000D_
criterion of advancing the theoretical foundations of data science._x000D_
More specifically, the problems being studied do not, to me, appear_x000D_
to be motivated by applications from industry or other sciences._x000D_
This is a serious shortcoming as it is a TRIPODS requirement._x000D_
_x000D_
Note that the random matrices under consideration are described_x000D_
as coming from random graphs, and covariance matrices.  This does not_x000D_
address the above shortcomings, because the types of objects being_x000D_
described (such as Erdos-Renyi random graphs) have been shown not_x000D_
to accurately model many large/random graphs which occur in applications._x000D_
_x000D_
Following from the above discussion, the 2nd research goal of_x000D_
"applications of random matrices..." is seen to be unlikely to_x000D_
advance TRIPODS goals._x000D_
_x000D_
The 3rd goal of "Algorithms for large scale DS" is obviously in_x000D_
the realm of TRIPODS, but beyond a description of some particular_x000D_
high-level views of such problems, the proposal is thin on details,_x000D_
leaving this reviewer with a lack of confidence that the ensuing work_x000D_
would meet TRIPODS expectations._x000D_
_x000D_
The project description does not give confidence to this reviewer_x000D_
that the work is a true synergy between researcher in math, stat,_x000D_
and CS.  While some projects are described as suitable for a postdoc_x000D_
working jointly with two of the PIs, a more telling phrase is_x000D_
"The PI intends to work on these problems,...", which suggests_x000D_
that the proposal itself was not a true collaborative work among_x000D_
the proposers, but perhaps merely an assemblage of separately_x000D_
generated text._x000D_
_x000D_
In the context of the five review elements, please _x000D_
evaluate the strengths and weaknesses of the proposal with respect to broader impacts._x000D_
_x000D_
Broader impacts include mentoring PhD students and postdocs, and_x000D_
REU students.  A claimed broader impact is "encourage the development_x000D_
of PhD level sequences in data science principles", but as the details_x000D_
of that development are minimal, it is not clear how such an impact_x000D_
would occur._x000D_
_x000D_
Please evaluate the strengths and _x000D_
weaknesses of the proposal with respect to any additional solicitation-specific review criteria, if _x000D_
applicable_x000D_
_x000D_
The description of the Phase II of this project does not closely_x000D_
follow what one would expect from an NSF-funded institute.  The proposed_x000D_
plan is to create a "DS Institute" at Harvard that "would be the_x000D_
physical center of gravity for research and teaching in DS at Harvard."_x000D_
It is understandable that Harvard would want such an institute because_x000D_
it would be of significant benefit to Harvard, the benefit to the_x000D_
wider community would be minimal, coming primarily from an annual_x000D_
conference._x000D_
_x000D_
The collaboration and evaluation plan is severely lacking.  The_x000D_
collaboration plan only describes the qualifications of the three PIs,_x000D_
and notes that other Harvard faculty would be involved.  The so-called_x000D_
"collaboration plan" does not even describe how the PIs would_x000D_
collaborate._x000D_
_x000D_
The Evaluation plan is similarly lacking, consisting of lists of_x000D_
goals described at a high level, and quantities to be measured,_x000D_
without any details about how those measures would be taken,_x000D_
or any indication of what values of those measures would be considered_x000D_
a success._x000D_
_x000D_
Summary Statement_x000D_
_x000D_
This proposal describes does not meet the TRIPODS goals because of_x000D_
inadequate collaboration between math, stat, and CS, because of a_x000D_
choice or problems which is not strongly influenced by the needs_x000D_
of applications, and because the planned Phase II work would not_x000D_
meet the expectations of a TRIPODS institute._x000D_
_x000D_
_x000D_
</t>
  </si>
  <si>
    <t xml:space="preserve">In the context of the five review elements, please _x000D_
evaluate the strengths and weaknesses of the proposal with respect to intellectual merit._x000D_
_x000D_
The proposal focuses on two problems - random matrix theory and dictionary learning. While these are clearly important problems in data science, the proposal did not convince me that work on these problems would help lay the theoretical foundations of data science as a field._x000D_
_x000D_
While the PIs are recognized, highly-regarded researchers, I was also surprised to find that only one paper by the lead PI, Mitzenmacher, was referenced in the project description._x000D_
_x000D_
Yes, the proposal identified specific topics of research and clearly described the roles of the 3 fields in these topics. _x000D_
_x000D_
There is a lot said about the physical location of the data science principles center at Harvard, but not much else about center-like activities. The PIs say each will have one post-doc. There would be a Working Group on education in data science._x000D_
_x000D_
I didn't get a strong sense of the synergy in this group and what problems the 3 main PIs would collaborate on._x000D_
_x000D_
I think the project will develop common terminologies and concepts. It won't be application-aware and it won't have connections to industry, based just on a reading of the proposal._x000D_
_x000D_
There is no mention of curricular development and no mention of questions such as privacy and fairness._x000D_
_x000D_
In the context of the five review elements, please _x000D_
evaluate the strengths and weaknesses of the proposal with respect to broader impacts._x000D_
_x000D_
The broader impacts paragraph was minimal and generic._x000D_
_x000D_
Please evaluate the strengths and _x000D_
weaknesses of the proposal with respect to any additional solicitation-specific review criteria, if _x000D_
applicable_x000D_
_x000D_
The proposal describes a well-integrated program. I do not think it_x000D_
addresses the broad themes of the program satisfactorily. There is almost nothing about educational and training activities and workforce development. The overall vision is missing, and the problems described seem to be rather specific. The description of how the project would scale up to Phase II was a strength of the proposal._x000D_
_x000D_
Summary Statement_x000D_
_x000D_
A decent proposal by an excellent team of PIs._x000D_
_x000D_
</t>
  </si>
  <si>
    <t>The proposal is to setup a "Data Science (DS) Principles Center" which would bring together two current efforts and contribute to a larger long term data science project currently being developed at Harvard. The focus of the DS Principles Center will initially be on: 1) the training of PhD students and mentoring of post-docs; 2) support of long term research visitors; and 3) amplify the existing work at Harvard of CS, Math and Statistics Departments, CMSA, IACS and the DS Initiative in generating gatherings for leading and early-career researchers in DS.In the recent years, there has been a fruitful interaction between the theory of computation, algorithms and large scale statistical inference. At Harvard University, there is a diverse group of data scientists working at this interface of computer science, mathematics and statistics with overlapping interests._x000D_
The proposal consists of three parts: 1) Random matrix theory, 2) Applications of random matrices to statistical computing and multivariate statistics, and 3) Algorithms for large scale DS. In the first part, it is proposed to study fundamental properties of random matrices and random graphs. The emphasis is on studying the statistics of eigenvalues and eigenvectors near the spectral edges, as these properties are the most relevant to applications in data science._x000D_
In the second part, it is proposed to study two statistical applications of random matrix theory. First, it is proposed to study the mixing time in the Kac's model, this being an important example of a high dimensional Gibbs sampler Markov chain that is amenable to theoretical analysis. There is a connection between this model and random matrix theory. An interesting feature of the method is to exploit this connection, allowing the application of the techniques and tools developed for the purposes of studying the spectral edges of random matrix theory to the Kac model. Next, is outlined a project in the context of multivariate datasets combining factor models and regression, where to obtain an unbiased estimator for the degrees of freedom, which will require precise information about the spectral edges of high dimensional random matrices. The third part of the proposal, concerning algorithms for large scale data analysis, two projects are proposed: the first concerns community detection and related questions, and the second concerns dictionary learning. Both projects are related to the structure of random graphs and random matrices.As well as research outputs at the heart of modern data science, the project will build human capital by: (i) training PhD students and mentoring post-docs, (ii) encourage the development of PhD level sequences in data science principles at Harvard, (iii) foster interaction in the scientific community and industry by having long-term visitors and co-organizing cutting edge events and working groups focusing on data science principles.</t>
  </si>
  <si>
    <t>1740811</t>
  </si>
  <si>
    <t>Mishra</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</si>
  <si>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TRIPODS: Foundations of Data Science through the Lens of Creolization_x000D_
_x000D_
L: 1740811 Mishra, Bhubaneswar New York University $ 1,050,000_x000D_
N: 1740789 Mitter, Sanjoy MIT $  450,000_x000D_
_x000D_
_x000D_
P172027 NDP TRIPODS Panel 1, Not Discussed in Panel (F,F,F)_x000D_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</si>
  <si>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proposal suggests bringing researchers from Mathematics, Statistics, Computer Science and Linguistics together in order to study creolization of the web, a phrase the authors use to mean the process by which a common language consisting of basic units such as images, hashtags, and other units of information found on the web may form.  While the proposal suggests that participants will study various aspects of data science ''through the lens of creolization'' it is not clear whether the main goal is the development of the foundations of data science or the construction of an ''agnostic infrastructure'' that helps to drive the creation of this common language.   The proposal suffers from the use of vague, unsupported statements.  One example from p. 6 of the Project Description is _x000D_
_x000D_
''We have extended TDA to work with evolution models in social learning simulation via interaction. This has proven to be a very effective method where we have shown that language converges to a stable model via the distance metric inherited on the Vineyards of the evolutionary process [14]. ''_x000D_
_x000D_
Here, the reference is to a 2006 paper on vineyards and not to work by the PI's on the extensions the authors claim to have made.	_x000D_
_x000D_
[14]  D. Cohen-Steiner, H. Edelsbrunner, and D. Morozov, 'Vines and vineyards by updating persistence in linear time,' in Proceedings of the twenty-second annual symposium on Computational geometry, pp. 119û126, ACM, 2006._x000D_
_x000D_
In the context of the five review elements, please _x000D_
evaluate the strengths and weaknesses of the proposal with respect to broader impacts._x000D_
_x000D_
The broader impacts in this proposal are minimal.  The Education and Outreach section of the proposal mentions new courses, outreach to K-12 programs, graduate and undergraduate education and research, and workshops and seminars.  However, the Project Description and Collaboration and Evaluation Plan lack further information to indicate that these activities are a serious part of the proposal.  The Broader Impacts statement in the proposal focuses primarily on the development of a ''new algorithmic sub-discipline'' that may be applied to linguistics and, perhaps indirectly, to healthcare, economy, security, social networks, and physical sciences._x000D_
_x000D_
_x000D_
Please evaluate the strengths and _x000D_
weaknesses of the proposal with respect to any additional solicitation-specific review criteria, if _x000D_
applicable_x000D_
_x000D_
As written, the PI (Mishra) is at the center of this program, with his collaborators and co-PIs working with him on statistical questions related to machine learning (Mitter) and algebraic topology and related efficient algorithms (Cappell).  This doesn't scale well to an institute level.  Many of the broad program themes are left unaddressed and the specificity of the research program may lead to the work produced under this project remaining somewhat isolated away from the larger data science community._x000D_
_x000D_
_x000D_
Summary Statement_x000D_
_x000D_
The postdoc mentoring plan was adequate.  The Data Management Plan includes the statement that ''Our policy for access and sharing of data with other researchers will be to provide it at no more than incremental cost à' What does 'incremental cost' mean in this context?  _x000D_
_x000D_
While the inclusion of linguistics as a focus is interesting, my concerns for scalability of the program structure and the lack of concrete and detailed information in the proposal, particularly in regards to planned institute activities and measures of success beyond peer reviewed publications, leads me to place this proposal in the bottom third of those I've reviewed._x000D_
_x000D_
_x000D_
</t>
  </si>
  <si>
    <t xml:space="preserve">In the context of the five review elements, please _x000D_
evaluate the strengths and weaknesses of the proposal with respect to intellectual merit._x000D_
_x000D_
This project primarily concerns topological and geometric approaches to the analysis of big data.  The specific target application is the_x000D_
"creolization process" of language, particularly on the Web, with a_x000D_
goal of understanding /identifying atomic word-like objects, called_x000D_
intuits. They hope to scale this to involve the entire population of_x000D_
the Earth._x000D_
_x000D_
This is an ambitious and admirable goal, but it does not meet the_x000D_
expectations of TRIPODS.  There are two primary failures.  First,_x000D_
the proposed project is a research project of the PIs and their_x000D_
students and collaborators.  There is no sense in which they are_x000D_
developing a new type of institute using their project as a text case._x000D_
_x000D_
Second, they are not using existing problems from industry and other_x000D_
disciplines to inform their project.  Instead, they have invented_x000D_
their own specific application problem, and with the hopes that_x000D_
the theoretical progress which will help in that problem will_x000D_
also have wider applications.  That many in fact be the case, but_x000D_
their approach gives no confidence that they are establishing an_x000D_
infrastructure that is conducive to fostering ongoing communication_x000D_
between math, stat, CS, industry, and other disciplines._x000D_
_x000D_
The proposal does not indicate a strong synergy among the three_x000D_
communities of math, stat, and CS. To the extent that there is_x000D_
interaction at all, the impression is that the work will be done_x000D_
serially, as opposed to an ongoing interaction.  While they state_x000D_
that they will "seek out other multi-disciplinary scientists", the_x000D_
lack of details suggests that such interaction will not be an_x000D_
ongoing part of the project._x000D_
_x000D_
In the context of the five review elements, please _x000D_
evaluate the strengths and weaknesses of the proposal with respect to broader impacts._x000D_
_x000D_
The project would contribute to the training of graduate students_x000D_
and postdocs.  Results could have application to analyzing big data._x000D_
_x000D_
Please evaluate the strengths and _x000D_
weaknesses of the proposal with respect to any additional solicitation-specific review criteria, if _x000D_
applicable_x000D_
_x000D_
The proposal is weak on the TRIPODS criterion of developing_x000D_
communication and interaction with domain sciences and industry,_x000D_
as can be seen from the fact that the model problem they wish_x000D_
to acttack, and the proposed methods, were not developed with such_x000D_
interaction._x000D_
_x000D_
There is little indication that the proposers understand the term_x000D_
"Institute" as it applies to TRIPODS.  They take the Courant Institute_x000D_
as their model.  While the Courant Institute is a fine establishment,_x000D_
it is far from the type of Institute envisioned by TRIPODS.  Thus,_x000D_
this proposal is unlikely to develop the capacity of substantial_x000D_
Phase II operations._x000D_
_x000D_
The evaluation plan is inadequate.  The items to be measured are_x000D_
described only in very high-level terms, with little indication of_x000D_
what exactly would be measured or now those measurements would be_x000D_
taken.  In terms of formative evaluation, the proposal says even less._x000D_
_x000D_
The lack of a clearly stated Phase II goal (beyond a vague indication_x000D_
of creating other projects along the lines of this proposal), the_x000D_
lack of any evaluation plan for the processes and procedures for_x000D_
developing this project, indicates that the development of Phase II_x000D_
capacity is unlikely._x000D_
_x000D_
Summary Statement_x000D_
_x000D_
This proposal does not indicate a strong connection between the three_x000D_
TRIPODS areas of math, stat, and CS.  The problems to be studied_x000D_
are do not appear to be developed through the types of widely-based_x000D_
interaction required by TRIPODS.  This proposal is unlikely to_x000D_
lead to the development of a TRIPODS Institute._x000D_
_x000D_
The data management plan is inadequate, giving the impression that_x000D_
the proposers are unfamiliar with standard methods of making data_x000D_
and software available on the Web.  The postdoc mentoring plan is_x000D_
adequate._x000D_
_x000D_
</t>
  </si>
  <si>
    <t xml:space="preserve">In the context of the five review elements, please _x000D_
evaluate the strengths and weaknesses of the proposal with respect to intellectual merit._x000D_
_x000D_
Strength: +_x000D_
Weakness: - _x000D_
_x000D_
+ The proposal identifies a single topic in computational linguistics (creolization). The proposed research is ambitious and appears to have a significant intellectual merit (at least to a non-expert in computational linguistics)_x000D_
_x000D_
+ The proposal's argument is that the particular research topic will provide a "lens" into the development of the foundations of data science, and a leading example for similar efforts. This is not unreasonable, as the topic involves both theoretical and practical challenges. _x000D_
_x000D_
- A significant portion of the time is to be devoted to gathering the data for the proposed research, which appears to be odd, assuming that the main goal of the proposal is to start an institute, as opposed to make scientific progress on the particular topic. _x000D_
_x000D_
- The proposal includes very little discussion about center-like activities. _x000D_
_x000D_
- While the PIs are very well qualified to perform the proposed research, starting and running an institute requires significant preparation and allocation of resources, and the proposal appears very weak in this respect. _x000D_
_x000D_
_x000D_
_x000D_
In the context of the five review elements, please _x000D_
evaluate the strengths and weaknesses of the proposal with respect to broader impacts._x000D_
_x000D_
The broader impacts are standard for a proposal of this size._x000D_
_x000D_
Please evaluate the strengths and _x000D_
weaknesses of the proposal with respect to any additional solicitation-specific review criteria, if _x000D_
applicable_x000D_
_x000D_
- In general the proposal is weak with respect to the solicitation-specific criteria. While most of the key aspects of the solicitation are addressed, this is done in a superficial way. For example, the proposal includes "assessment plans", but these are only about assessing progress on the particular research topic, not assessing the institute itself (which by the way is called a "center")_x000D_
_x000D_
- Among the "broad themes" of the solicitation, the only one addressed is the development of common concepts and terminologies, and that only implicitly, through the proposed research._x000D_
_x000D_
- No concrete plans for a Phase II are given (besides a very vague comparison with Courant)_x000D_
_x000D_
Summary Statement_x000D_
_x000D_
The proposal has a significant intellectual merit. However it appears to be a rehashing of a standard large collaborative NSF proposal which does not address the main goal of the solicitation._x000D_
_x000D_
</t>
  </si>
  <si>
    <t>It is often said that progress in science is characterized by successive steps of measurement, arithmetization, algorithmization, and algebraization - each step representing in a succinct manner the intuitions collected in the earlier step. The process often attracts and involves individuals trained in_x000D_
different aspects of natural and data sciences, statistics, computer science and mathematics, and yet the research often proceeds separately, despite the fact that it requires building on each others' work. Currently, scientists and engineers have become justly excited by the rise of data sciences, big data, hardware acceleration and data-driven scientific advances, but equally confused by a lack of unifying framework that accommodates successes of deep learning, machine learning, topological data analysis, manifold learning, PAC learning, reinforcement learning, Bayesian and empirical Bayesian learning - just to name a few. In sciences, various breakthroughs in technology, e.g., genome sequencing, high-throughput measurement of DNA/RNA abundance, astronomical data, social-media data, on-line observations of human interactions, etc., have made it possible to obtain a quantitative arithmetic picture of the "static states" of a complex structure (cell, organism, population, social groups, universe) at a certain instant and under certain conditions. And yet, the developing technology shies away from the final step of the algebraization of the underlying processes (e.g., creolization in linguistics). Such an approach could center around the so-called "Topological Data Analysis," that seeks a algebraic/topological structure in the state-space - to be inferred from the sampled data point clouds over time._x000D_
_x000D_
We wish to create an algebraic (geometric/topological) investigation of existing and emerging Big Data approaches in computer science, statistics, computational science, and mathematics, along with innovative applications in specific domain sciences, with a singular attention to linguistics via a study of a creolization process on the web. For this purpose, we have formed a team that is collaborative, involving researchers from multiple domains and institutions, e.g., computer science, statistics, mathematics and linguistics.The proposed project will introduce new paradigms, theories and tools, connect them to related efforts in topological data analysis (TDA), machine learning, deep learning neural nets, manifold learning, etc., and study their suitability by applying the unifying framework to linguistics (creolization). It will build on new algorithmic techniques for geometric and topologic reasoning about an ensemble of data points as they arise and progress in a linguistic context. The proposed solution will aim to seamlessly combine formalisms and techniques from differential and algebraic geometry, computational geometry, computational topology, information-theory, machine learning and statistical estimation theories. Our team is built around experts in these areas who have worked together in the past, and will invite additional prominent researchers.The research in this project is devoted to unifying powerful new tools for designing and understanding the Big Data, being created and deployed. Solving this problem alone will have immediate economic and scientific benefits. At the same time, this challenge is intended to illustrate the deeper level of scientific inquiry that can potentially be enabled by combining techniques from mathematics, information theory, machine learning and statistical estimation theory. The proposal calls for the training and mentoring of undergraduate, graduate students and post doctoral researchers. Outreach includes the development of new course material in Data Science to be deployed at MIT and NYU (Courant and Tandon).</t>
  </si>
  <si>
    <t>1740813</t>
  </si>
  <si>
    <t>Anderson</t>
  </si>
  <si>
    <t xml:space="preserve">NATIONAL SCIENCE FOUNDATION _x000D_
Arlington, Virginia 22230 _x000D_
Directorate for Computer and Information Science and Engineering (CISE)_x000D_
Division of Computing and Communication Foundations (05010000)_x000D_
TRIPODS Transdisciplinary Rese (041Y)_x000D_
NSF 16-615 Transdisciplinary Research in Principles of Data Science Phase I_x000D_
Review Analysis: Standard Decline (NDP) for proposal with low review scores_x000D_
_x000D_
TRIPODS: Phase I: Institute on Graph Analytics and Rankability in Data Science (IGARDS)_x000D_
_x000D_
L: 1740813 Anderson, Paul College of Charleston $ 1,500,000_x000D_
_x000D_
_x000D_
P172027 NDP TRIPODS Panel 1, Not Discussed in Panel (G,F/P,F/P)_x000D_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Monday, August 7, 2017_x000D_
_x000D_
_x000C__x000D_
</t>
  </si>
  <si>
    <t xml:space="preserve">In the context of the five review elements, please _x000D_
evaluate the strengths and weaknesses of the proposal with respect to intellectual merit._x000D_
_x000D_
The research focus of this proposal is rankability, including how to determine when a meaningful ranking exists for a given data set, how to quantify rankability, and how to produce a ranking.  Applications include web search, cybersecurity, machine learning, and statistical learning theory.  This is the most narrow research focus of the proposals I've reviewed.  The narrow focus leads to a clearly cohesive mission and Figure 2 representing the roles that Mathematics, Computer Science, and Statistics play in the proposed program is particularly compelling.  My concern is that a program the magnitude of TRIPODS calls for a more ambitious collection of research projects._x000D_
_x000D_
In the context of the five review elements, please _x000D_
evaluate the strengths and weaknesses of the proposal with respect to broader impacts._x000D_
_x000D_
The Broader Impacts of this proposal are strong.  Both curriculum development and attention to diversity are addressed in a thoughtful and measured way.  The Institute activities include outreach to local researchers and industry partners.  The IGARDS Research Office Hours (10-20 hours per week by each of the PIs) is a large commitment._x000D_
_x000D_
_x000D_
Please evaluate the strengths and _x000D_
weaknesses of the proposal with respect to any additional solicitation-specific review criteria, if _x000D_
applicable_x000D_
_x000D_
The proposal for training and curriculum development and the Evaluation Plan are both in the top quarter of those I've reviewed.  The PI's take a thoughtful approach to end-to-end data science training (see Figure 5) and make a clear argument for their ability to carry out significant curriculum development and training through the faculty level.  The Evaluation Plan includes (named) external reviewers as well as systematic measurements designed to adapt to the changing schedule.  The proposal also includes interesting ideas for activities including Industry Days and Cougar Teams and has a solid plan for engaging with Industry contacts.  The PIs are well situated to form a strong, transdisciplinary team and the vision for the future of data science is clearly presented. _x000D_
_x000D_
_x000D_
Summary Statement_x000D_
_x000D_
This is a beautifully written proposal that unfortunately falls short on scope of the overall research program.  The rest of the proposal is in the top third/half of those I've reviewed.  Relative to the other strong proposals I've reviewed, I place this proposal in the bottom third._x000D_
_x000D_
_x000D_
</t>
  </si>
  <si>
    <t xml:space="preserve">In the context of the five review elements, please _x000D_
evaluate the strengths and weaknesses of the proposal with respect to intellectual merit._x000D_
_x000D_
The proposal specifies only one problem to be studied, rankability: roughly whether the data set can induce a ranking of the data points.  In particular, the proposal focuses on rankability in directed graphs. _x000D_
_x000D_
_x000D_
The problem is not very well defined, except we the following sentence: "We desire a rankability measure that is independent of a ranking method or ranking and is instead derived solely from the data and network or graph topology."_x000D_
_x000D_
With this broad definition, almost every graph is rankable. Just define the random walk, find the stationary distribution, and order the nodes according to the probabilities. This will almost always give an ordering (without ties) unless the graph has some rarified structural property, which however is not interesting for data science. _x000D_
_x000D_
Of course I understand you implicitly mean an ordering that somehow will respect (most of) the directed edges of the graph, i.e. the directed edges imply an ordering.  But this again is lack of clarity in the definition, which in fact is left as an open problem. To me, that's a non-starter. _x000D_
_x000D_
I suppose some good theory (such as feedback arc problems) can be produced out of different "rankability" definitions, but then it is difficult to see why this is a fundamental topic, especially in data science. _x000D_
_x000D_
Also, the motivation of the problem is not very convincing. You write "In the absence of such foundational work, investigators_x000D_
often choose a ranking method arbitrarily and then accept the resulting ranking without asking questions such as: Can this ranking be trusted?" _x000D_
_x000D_
Can you give at least one example of the above case?_x000D_
_x000D_
Finally, in your opening paragraph you write: "little attention has been paid to foundational issues that underlie the field of Data Science." _x000D_
_x000D_
That is a very severe understatement. _x000D_
_x000D_
_x000D_
_x000D_
In the context of the five review elements, please _x000D_
evaluate the strengths and weaknesses of the proposal with respect to broader impacts._x000D_
_x000D_
Broader Impacts are standard._x000D_
_x000D_
Please evaluate the strengths and _x000D_
weaknesses of the proposal with respect to any additional solicitation-specific review criteria, if _x000D_
applicable_x000D_
_x000D_
The proposal includes center-like activities, and a commitment of the University to provide space and resources. _x000D_
_x000D_
The evaluation plan and schedule are also OK._x000D_
_x000D_
Summary Statement_x000D_
_x000D_
While the proposal presents an attractive idea of an institute at Charleton, and a reasonable plan of engaging researchers using a single research topic, the topic itself is not well defined, and its fundamental value not justified._x000D_
_x000D_
</t>
  </si>
  <si>
    <t xml:space="preserve">In the context of the five review elements, please _x000D_
evaluate the strengths and weaknesses of the proposal with respect to intellectual merit._x000D_
_x000D_
The proposed Institute on Graph Analytics and Rankability in Data Science (IGARDS) will focus on problems related to Ranking data and graph analytics. _x000D_
_x000D_
+ An institute in the College at Charleston will give a strong boost to the research activity in Charleston._x000D_
_x000D_
+ Ranking problems come up in many different domains like data mining/ web search, machine learning, operations research/ choice theory etc. The proposal will try to tackle many different aspects of ranking from a theoretical standpoint. _x000D_
_x000D_
- The scope of the research is fairly narrow, and I do not think the research is likely to be transformative. This seems to be a small/medium scale project._x000D_
_x000D_
- The PIs mainly model rankings primarily as weighted directed graph problems, that correspond to aggregate pairwise comparisons. However, this ignores a large body of statistical work on rankings (e.g., noisy sorting as in Mossel-Braverman, probabilistic models like Mallows model, Bradley-Terry/ Plankett-Luce), and rankings based on more information. _x000D_
_x000D_
- The PIs seem to be unaware of many existing works on rankings in the TCS, ML and Economics(Social Choice) communities. For instance, even in the context of computing the number of violations, there is work in CS (e.g., Ailon-Charikar-Newman, Mathieu-Schudy, Seymour etc.) on efficient approximation algorithms for the problem. Further, while they talk about the intractability of measures like feedback arc set, they do not suggest any concrete measures that they believe are tractable and meaninful._x000D_
_x000D_
_x000D_
In the context of the five review elements, please _x000D_
evaluate the strengths and weaknesses of the proposal with respect to broader impacts._x000D_
_x000D_
+ Data-science PhD program_x000D_
+ The women PIs in the team have a strong track record of involving/attracting other women to their research groups. Further, they have a track-record of involving undergraduate students in REU programs._x000D_
_x000D_
Please evaluate the strengths and _x000D_
weaknesses of the proposal with respect to any additional solicitation-specific review criteria, if _x000D_
applicable_x000D_
_x000D_
+ The team consists of a combination of CS, Math and Stats faculty. _x000D_
+ They have concrete tie-ups with industry for data sets and collaborations. _x000D_
+They have a clear collaboration plan and evaluation plan._x000D_
- I feel the PIs expertise is more lop-sided towards statistical and empirical aspects of the project._x000D_
- Phase 2 plans were very vague._x000D_
_x000D_
Summary Statement_x000D_
_x000D_
While the proposal aims to tackle an important problem of Ranking, the scope of the research is fairly narrow, and I do not think the research is likely to be transformative._x000D_
_x000D_
</t>
  </si>
  <si>
    <t>The Institute on Graph Analytics and Rankability in Data Science (IGARDS) located in the beautiful Harbor Walk facilities of the College of Charleston has a three-part vision for the foundations of data science: a problem-driven focus, a strong interaction between theory and practice, and deliberate, balanced training of the data science team. Our institute's goals are: (1) to advance research on the rankability problem and its related graph analytics problems, (2) to train faculty, sharing our vision for the conduct of foundational data science work, and (3) to develop a list of skills for data scientists at each educational level (B.S., M.S., Ph.D.) and provide training tutorials for infusing foundational skills into existing and new curricula.These goals will be achieved through the foundational research problem of rankability, which refers to a dataset's ability to produce a meaningful ranking of its items. A ranking is a list of items from most to least important. Ranking is a fundamental and underappreciated data science task that permeates almost every aspect of translating computational and algorithmic results into a form that a human can use. Its applications are numerous and include web search, cybersecurity, machine learning, and statistical learning theory. Minimal attention has been paid to the question of whether a data set is suitable for ranking. Most consumers apply a ranking method without asking questions such as: Can this ranking be  trusted? Are parts of the ranking too similar to be disambiguated and possibly meaningless? How can rankability be quantified? Can rankable subgraphs be identified? At what point is a dynamic, time-evolving graph rankable? _x000D_
_x000D_
We will produce measures of the rankability of a (weighted) directed graph that justify whether the additional expense of running a ranking method is warranted. Further, we will study which graph modifications (edge addition or removal) most improve a graph's rankability. To answer these core questions on rankability we must integrate theories and models from   mathematics (matrix reorderings, optimization, sensitivity analysis), statistics (approximation theory, stochastic processes), and computer science (graph computing, clustering, strongly connected components).Using our experience as a pioneer in data science, the IGARDS institute will improve TRIPODS education  and educator development, making recommendations and flowcharts for curricula and development of data science skills. The institute will develop a competitive workforce through its many activities, which train both faculty and students through tutorials, workshops, and industry-academia partnerships. Institute participants will be diverse in gender (the female PIs have a strong record of attracting other females), in race (with existing connections to HBCUs and their data science programs), in educational level (from B.S. Davidson College through Ph.D. Purdue U.), and in experiences (from the existing REU to SPAWAR).  Through careful meta-analysis of our team's own conduct of foundational data science work, we will produce best practices for future data science teams. _x000D_
There is a tight integration between research and training programs as all institute activities revolve around the research topic of rankability for repeated context and motivation. Similarly, training modules use rankability as the running example. _x000D_
  _x000D_
The College of Charleston currently conducts the activities of a Data Science Institute with its REU and degree programs, lecture series, labs, consulting, and the PIs' nationally recognized research. Thus, it is a natural step to expand to a TRIPODS institute. Our attractive location, tech sector growth, pioneering data science education, existing network of research collaborators, industry partners, and thoughtful plan for self-analysis of the conduct of foundational data science research make the College and City of Charleston uniquely qualified to host the Institute on Graph Analytics and Rankability.</t>
  </si>
  <si>
    <t>1740815</t>
  </si>
  <si>
    <t>Jiang</t>
  </si>
  <si>
    <t xml:space="preserve">Dear Professor Jiang,_x000D_
_x000D_
I regret to inform you that the NSF proposal CCF1740815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DMS 1740815 _x000D_
Title: Institute for Principles of Data Science: Theory, Computation, and Application_x000D_
PI: Jiming Jiang, Zhaojun Bai, Norman Matloff, Thuan Nguyen_x000D_
Institution: University of California--Davis_x000D_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This proposal is submitted by the University of California, Davis and the research team involves faculty members of that campus and  the Oregon Health and Science University in Portland, Oregon._x000D_
_x000D_
Research projects the proposal emphasizes concern (1) a Mont-Carlo jackknife (McJack), (2) Bayesian sequential learning, and (3) recommender systems, in the sense of Netflicks or Amazon customer recommendations._x000D_
_x000D_
Broader impacts described in the project summary include training at graduate and undergraduate levels and possible international collaborations._x000D_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G, G/F, and F._x000D_
_x000D_
This proposal was among the eleven rated NDP._x000D_
_x000D_
After seeing the submitted reviews, the panelists agreed that the reviews adequately described the relative strengths and weaknesses of the proposal.  This proposal was part of a group that was not selected for in-depth discussion by the panel and placed in the "Not Discussed in Panel" category without production of a panel summary._x000D_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</si>
  <si>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This proposal suggests a focus on three distinct areas to support the theory of data science:_x000D_
1) Monte-Carlo jackknife_x000D_
2) Bayesian sequential learning_x000D_
3) Recommender systems_x000D_
_x000D_
Unfortunately these topics are too disconnected to provide a coherent research agenda. Additionally, in the discussion of Phase II topics two more disconnected ideas are presented (without any appropriate background or connection to the previous topics)._x000D_
_x000D_
In the context of the five review elements, please _x000D_
evaluate the strengths and weaknesses of the proposal with respect to broader impacts._x000D_
_x000D_
Broader impacts are stated to include the broadening of participation of women in data science, but no clear steps are outlined that would lead to this increase._x000D_
_x000D_
Please evaluate the strengths and _x000D_
weaknesses of the proposal with respect to any additional solicitation-specific review criteria, if _x000D_
applicable_x000D_
_x000D_
Each of the suggested research ideas is nice, but there is no comprehensive vision for the institute._x000D_
_x000D_
Clear guidelines are suggested for software development associated with the proposed work. Application areas of interest are also suggested, though they don't focus as much on health applications as would be advisable given that this is the only application area from which they have a Co-PI._x000D_
_x000D_
There are PIs from two institutions that are not colocated. Ideally, this would strengthen the proposal by creating a two college collaboration, but instead it seems to weaken it since there are no plans to bring the Oregon school into the institute but rather base everything at Davis, with the Oregon PI traveling regularly and otherwise participating remotely._x000D_
_x000D_
_x000D_
_x000D_
Summary Statement_x000D_
_x000D_
Many different research ideas are introduced, but the proposal suffers from a lack of a cohesive vision and sustained development of any of the research ideas._x000D_
_x000D_
</t>
  </si>
  <si>
    <t xml:space="preserve">In the context of the five review elements, please _x000D_
evaluate the strengths and weaknesses of the proposal with respect to intellectual merit._x000D_
_x000D_
Strong high-level theme that will last 5 years: statistical power vs computing time and how to control/optimize for that, and more generally thinking about statistical issues (like k-NN in the context of real computing systems and workflows).  _x000D_
_x000D_
However, specifics did not feel as strong as the theme: MonteCarlo Jackknife, Bayesian sequential learning, Recommender systems._x000D_
_x000D_
Monte Carlo JackKnife - Two ways in which this is not as  forward-looking/cutting-edge/modern as one might hope to see. (1) Assumes we are data starved such that resampling is worthwhile (as opposed to just drawing more samples). That's fine, but it's also a very traditional assumption, one of the exciting *newer* challenges for data science is the "we have plenty of (noisy) data, now what?" (2) Assumes the robustness we need in measurement is with respect to IID data, but IID is very well-studied, and rarely a good assumption. Further, proposers value the McJack for its 2nd-order unbiasedness, which is nice, but didn't argue for why that was the most important aspect to consider? _x000D_
_x000D_
Bayesian sequential Learning  - specific suggestions didn't seem like they really would push state of the art. _x000D_
_x000D_
Recommender systems - it's very hard to compete with industry on this front, but I liked that they were thinking of novel non-commercial "applications" for this.  However, their specific proposals do not sound state-of-the-art._x000D_
_x000D_
_x000D_
_x000D_
In the context of the five review elements, please _x000D_
evaluate the strengths and weaknesses of the proposal with respect to broader impacts._x000D_
_x000D_
Appear to have some good collaborations set-up._x000D_
_x000D_
Goals and plans seem inspiring and engaging for broader audiences. _x000D_
_x000D_
Proposal noted the historical disconnect between CS and states, but the attitude did not seem like a good way to build those missing bridges, 'Many, if not most, of the methods being developed for data science are ad hoc, imprecisely states, and with poorly supported rationale.' I think that statement is too strong -  I wonder if they are reading the right literature, or talking to the right experts? Or realizing the huge overlap that does already exist?  This strong negative attitude suggests they maybe don't understand some fundamental ideas machine learning ideas and principles, like structural risk minimization, or stochastic gradient methods, or why deep neural nets and variants like LSTM make sense. Machine learning in particular works - and it works because the field does, to a large extent, collectively know what it's doing, and makes principled well-reasoned advances. That said, I entirely agree that computer scientists re-invent and are ignorant of large swathes of statistics, and I enthusiastically applaud respectful efforts to improve that situation, for the good of all, but I didn't see strong specific efforts in this grant  pinpointing issues or opportunities to do so, nor sufficiently inspiring bridge-building attitude/plans that could help._x000D_
_x000D_
_x000D_
_x000D_
Please evaluate the strengths and _x000D_
weaknesses of the proposal with respect to any additional solicitation-specific review criteria, if _x000D_
applicable_x000D_
_x000D_
Strong high-level theme that will last 5 years: statistical power vs computing time and how to control/optimize for that, but specifics were not super compelling._x000D_
_x000D_
Summary Statement_x000D_
_x000D_
Proposal is to research predicting trade-offs between statistical power and computational costs.  Overall, this is a great project/goal, but the actual proposed work did not seem like it would be highly impactful if it was successful._x000D_
_x000D_
</t>
  </si>
  <si>
    <t xml:space="preserve">In the context of the five review elements, please _x000D_
evaluate the strengths and weaknesses of the proposal with respect to intellectual merit._x000D_
_x000D_
Strengths:_x000D_
*A good proposal from well established researchers with a good track record of publication, including one of the main developers of predominant LAPACK package for MATLAB._x000D_
*Projects with a strong statistical flavor_x000D_
-Weaknesses: _x000D_
*Some parts lack motivation for data science (is Jackknife scalable?)_x000D_
*At times topics appear to lack breadth and their potential for yielding fundamental answers appears to be limited._x000D_
*The proposal could focus more on fundamentals._x000D_
_x000D_
_x000D_
In the context of the five review elements, please _x000D_
evaluate the strengths and weaknesses of the proposal with respect to broader impacts._x000D_
_x000D_
Strength: Creation of fast software_x000D_
Weaknesses: Very limited in scope_x000D_
_x000D_
Please evaluate the strengths and _x000D_
weaknesses of the proposal with respect to any additional solicitation-specific review criteria, if _x000D_
applicable_x000D_
_x000D_
-Strengths: _x000D_
*Interdisciplinary collaboration_x000D_
*Budget for workshops_x000D_
-Weaknesses: _x000D_
*The various research projects could appear independently in regular proposals other than TRIPODS: it is not clear what synergies will come out._x000D_
*Transition to Phase II is a list of potentially new topics to investigate with no direct connection to Phase I._x000D_
_x000D_
_x000D_
Summary Statement_x000D_
_x000D_
The proposal has some strong points but suffers from several shortcomings, particularly in TRIPODS specific aspects._x000D_
_x000D_
</t>
  </si>
  <si>
    <t>In this research proposal, a statistician, a computer scientist, a computational mathematician, and a biostatistician with complementary research skills and established track records work together to solve challenging problems regarding theoretical foundation of data science. We will establish an Institute for Principles Of Data Science (IPODS). Under the framework of IPODS, we work on solving several challenging problems regarding theoretical foundations and principles of data Science. Our theoretical studies require combined efforts from statistics, computer science, and mathematics, and our theoretical development will provide guidance to practice.Data science is an interdisciplinary area. From both research and application perspectives, we have seen strong and increasing trends requiring seamless interactions between Statistics, Mathematics, Computer Science and domain scientists/experts. More specifically, research on theoretical foundation of data science involves expertise from many sub-fields within the fields of Statistics, Computer Science, and Mathematics. Even within each of these fields, no one can be an expert in every sub-field. This brings an urgent need for an organization to coordinate a collaborative research with experts from the relevant fields and sub-fields efficiently working together. To foster synergetic connections between researchers and to facilitate projects' ability to reach critical mass, we propose the establishment of IPODS. IPODS will bring together mathematicians, statisticians, theoretical computer scientists, and domain scientists to work on frontier research in theoretical foundations and principles of data science in a collaborative setting. To maximize its impact in research, education, and services, we plan to establish an interdisciplinary research program and a visitor program. The interdisciplinary program will provide support for collaborative projects across the disciplines, while the visitor program will attract and bring experts and promising young researchers in mathematics and data science around the world to interact and collaborate with core members of IPODS. IPODS will play a pivotal role in theoretical foundations and principles of data science education at all levels on our campuses, providing training in the form of lecture series and bridge-building workshops; creating new PhD-level courses and driving undergraduate education and training at the same time._x000D_
_x000D_
Under the umbrella of IPODS, we shall pursue research on important topics related to theoretical foundation of data science. Current aims for Phase I operation include: Aim 1: Monte-Carlo jackknife (McJack); Aim 2: Bayesian sequential learning (BSL); Aim 3: Recommender Systems (RS). All three aims of the proposed research in Phase I are motivated by problems of great practical interest. McJack is closely related to the need for obtaining measure of uncertainty in data science; BSL is motivated by the challenges in Bayesian analysis of big data; and RS has been a subject of active research in both Computer Science and Statistics with many potential applications. The PI and co-PIs of the proposed project have been working in these three areas, with some preliminary results. A common feature of these aims is that the nature of the problem requires expertise from all three fields, Computer Science, Mathematics, and Statistics. The aims also interact with each other. Further research topics are proposed in the section regarding Phase II operation.The proposed IPODS will bring together computer scientists, mathematicians, and statisticians to work on challenging problems in Data Science. Such efforts will encourage much-needed interdisciplinary collaboration. We will develop software packages, and test our theoretical findings in real-data applications. Our domain scientists and experts will work closely with us under IPODS to provide guidance to practice in various subject fields. IPODS will also promote institutional collaboration, as the project involves two institutes from different states of U.S. The operation of IPODS also provides an ideal environment for the training of graduate students, education of undergraduate students, and international research and educational collaborations. The proposed project will also promote participation of women in Data Science research and education.</t>
  </si>
  <si>
    <t>1740816</t>
  </si>
  <si>
    <t>Hirani</t>
  </si>
  <si>
    <t xml:space="preserve"> Panel Summary       
 Description: The proposal focuses on accountability in data science via the areas of fairness, robustness, and interpretability.  Institute activities will include workshops focused around institute themes._x000D_
_x000D_
Intellectual Merit: This is a very important and current topic, addressing issues that have the potential to be transformative in the field and society.  The panel was excited to see this topic addressed, but the lack of details and precise research directions, in the absence of previous work by the PIs in this area or a clear exposition of the related work made the proposal less convincing._x000D_
_x000D_
Strengths_x000D_
+ The choice of topic and initial understanding of it shown by the PIs._x000D_
+ Some expertise in robustness, differential privacy, and interpretability._x000D_
_x000D_
Weaknesses_x000D_
- The lack of existing work by the PIs in fairness, and sparsity of existing work in interpretability._x000D_
- The lack of citations and apparent knowledge to the relevant work in this area._x000D_
- The lack of precisely defined research problems in this area_x000D_
_x000D_
Broader Impact:_x000D_
This topic has clear and broad societal impacts.  Other broader impacts include interesting curriculum development plans, student mentoring, and clear plans and directions for a focus on diversity._x000D_
_x000D_
Strengths_x000D_
+ The societal impacts of the proposed work._x000D_
_x000D_
Weaknesses_x000D_
None noted._x000D_
_x000D_
TRIPODS-specific criteria: _x000D_
The institute plans include themes with associated workshops, curriculum development in this area, and an executive board from both academia and_x000D_
 industry._x000D_
_x000D_
Strengths_x000D_
+ The thematic workshops._x000D_
+ Curriculum development in this area, including in philosophy._x000D_
+ The clear vision of the proposed work._x000D_
_x000D_
Weaknesses_x000D_
- Lack of depth in theoretical computer science._x000D_
_x000D_
Collaboration and Evaluation Plan: The evaluation plan lays out clear metrics and associates each research project with a team of researchers._x000D_
_x000D_
Data Management Plan: The data management plan focuses on the storage and sharing of data and code.  It would have been useful to learn more about the PIs plan for generating and handling specific data sets, especially given the potential human subjects research issues that this topic involves._x000D_
_x000D_
What is bold, exciting, high risk/reward, or potentially transformative?  While some reviewers found this proposal to be high risk / high reward, others felt concerned by the lack of track record in this area by the PIs._x000D_
_x000D_
Suggestions to PI: It would have been ideal to see existing work in these areas by the PIs (even if still in preprint form), but in the absence_x000D_
of that a clearly defined theoretical problem in fairness or a specific approach to tackling indirect discrimination would have helped._x000D_
_x000D_
Justification for Panel Rating: The lack of evidence (via related work citations, existing work by the PIs, or clearly defined problems) of expertise in this area._x000D_
_x000D_
Panel Rating:_x000D_
_ Highly Recommended_x000D_
_ Recommended_x000D_
X Not Recommended_x000D_
_x000D_
The summary was read by/to the panel and the panel concurred that the summary accurately reflects the panel discussion. 
</t>
  </si>
  <si>
    <t xml:space="preserve">Dear Professor Hirani,_x000D_
_x000D_
I regret to inform you that the NSF proposal  CCF 1740816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DMS 1740816 _x000D_
Title: Accountability in Data Science: Metrics and Interpretability _x000D_
PI: Anil N. Hirani, Kay L. Kirkpatrick, Bo Li, Maxim Raginsky, Matus J. Telgarsky_x000D_
Institution: University of Illinois at Urbana--Champaign_x000D_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The proposal describes three components of  accountability in data science: fairness of learning algorithms, data collection, and representation; robustness, in the sense of algorithmic stability; and interpretability of machine learning models._x000D_
_x000D_
Broader impacts described in the project summary include the development of a novel transdisciplinary training program and  the support of summer internships with industry partners._x000D_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E, V/G, and P._x000D_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reviews for this proposal display more variance than was common in this panel, with summary ratings of E, V/G, and P reflecting genuine disagreement about the prospects of this submission.  The two outlying reviews were both provided by researchers who have established interests in the subject of fairness and accountability for algorithms and data analyses.  _x000D_
_x000D_
The favorable E-rated comments emphasize the importance of the area, endorse some of the problems featured by the proposal, and judge that the proposal's team of investigators can be expected to make contributions to the field.  The unfavorable P-rated review agrees that the area is vitally important but stresses the proposal's lack of awareness of existing, relevant work on fairness and interpretability in machine learning._x000D_
_x000D_
The panel summary reflects the substantial discussion of this proposal by the whole panel, and reports both strengths and weaknesses.  The balance of the panel summary turns on the question of the team's expertise, as demonstrated by literature citations, prior work of the investigators, or an especially clear list of problems. Enough other proposals made more thoroughly positive impressions on the panelists to lead to an unfavorable ranking for this submission, despite its features and the presence of an advocate on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</si>
  <si>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This proposal addresses the important problem of accountability in algorithms for data science via considerations of fairness, robustness, and interpretability.  Unfortunately, the proposal seems unaware of and not prepared to build on most of the relevant work in fairness-aware machine learning and interpretable machine learning.  The PIs should take a look at the extensive list of related work available at:_x000D_
_x000D_
http://www.fatml.org/resources/relevant-scholarship_x000D_
_x000D_
on fairness and auditing and interpretability.  For example, the PIs seem unaware of the extensive history of work on correcting for implicit bias (a project they propose to undertake).  They are similarly missing related work on auditing and interpretability.  Given that they propose to directly tackle the problems solved by some of these related papers, this is a critical deficiency._x000D_
_x000D_
_x000D_
_x000D_
In the context of the five review elements, please _x000D_
evaluate the strengths and weaknesses of the proposal with respect to broader impacts._x000D_
_x000D_
This topic has inherent broader impacts, however given the weaknesses demonstrated by the lack of background of the PIs in this area, the broader impacts are also weakened. Additionally the proposal describes planned curricular innovations and diversity initiatives._x000D_
_x000D_
Please evaluate the strengths and _x000D_
weaknesses of the proposal with respect to any additional solicitation-specific review criteria, if _x000D_
applicable_x000D_
_x000D_
In addition to interdisciplinary connections to mathematics, computer science, and statistics, the proposal includes a Co-PI from the department of philosophy.  This is a nice idea, but unfortunately the proposal showed no evidence of deep collaboration with philosophy in the planned reaerch (curricular connections were mentioned)._x000D_
_x000D_
Summary Statement_x000D_
_x000D_
Unfortunately, while this proposal addresses critical issues of accountability in data science, it's not rooted strongly enough in the existing literature in this area._x000D_
_x000D_
</t>
  </si>
  <si>
    <t xml:space="preserve">In the context of the five review elements, please _x000D_
evaluate the strengths and weaknesses of the proposal with respect to intellectual merit._x000D_
_x000D_
Proposal focuses on accountability as defined by metrics and Interpretability: fairness, robustness/stability, interpretability._x000D_
_x000D_
Specifically, algorithm design to correct for implicit bias and identify/understand unfairness, robustness of ML pipelines of simpler systems connected in complex ways, interpretability of deep networks via specialized regularization and architectural bottlenecks._x000D_
_x000D_
These are great, forward-looking modern research questions, and while they are hard and the proposal doesn't have all the answers, there are sufficiently compelling trajectories and well-stated questions to have confidence in the intellectual merit and potential for impact._x000D_
_x000D_
Interpretability research shows good understanding of the real issues/questions, which is a good start. Specific proposals are relatively good, but this is a challenging research area where one of the main research questions is to figure out the right questions, and there is a good indication these researchers will be able to make progress on the meta-issues as well as on tackling specific ideas.  _x000D_
_x000D_
_x000D_
In the context of the five review elements, please _x000D_
evaluate the strengths and weaknesses of the proposal with respect to broader impacts._x000D_
_x000D_
These are exciting and inspiring research questions that will engage a broader audience and cut across fields, but need leadership, rigor, mathematical foundations, and experimental rigor and process from data scientists.  _x000D_
_x000D_
Good proposed courses and course developement_x000D_
_x000D_
Proposal plan was reasonable and well-organized._x000D_
_x000D_
Team and institution are proposing activities they have notable expertise and resources for._x000D_
_x000D_
Please evaluate the strengths and _x000D_
weaknesses of the proposal with respect to any additional solicitation-specific review criteria, if _x000D_
applicable_x000D_
_x000D_
Proposal gives reason to hope for synergies across these projects and between these experts._x000D_
_x000D_
Summary Statement_x000D_
_x000D_
Fresh, modern, forward-looking, challenging and impactful research questions that are likely to inspire broader engagements and interest, by a team with strong expertise and ideas to attempt to tackle them. _x000D_
_x000D_
_x000D_
</t>
  </si>
  <si>
    <t xml:space="preserve">In the context of the five review elements, please _x000D_
evaluate the strengths and weaknesses of the proposal with respect to intellectual merit._x000D_
_x000D_
The proposal aims to pursue 3 technical directions, addressing fairness, robustness and interpretability in machine learning. All are important components of data science.  For robustness, the proposal specifically discusses Wasserstein robustness and hopes to prove that it is the right notion of robustness.  Interpretability of machine learning is the most interesting direction in my opinion, for which the focus is on deep networks and subnetworks of deep networks. The eventual goal is to simulate human thinking process to perform tasks such as suggesting medication, "augmented intelligence" in some sense. _x000D_
_x000D_
The PIs expertise covers stats, machine learning, neural nets and optimization.  The 3 proposed directions are great, but would be better if more interactions among the directions are addressed._x000D_
_x000D_
The proposal does a good job in describing student training, course and curriculum development.  The sample student cases are well done. _x000D_
_x000D_
_x000D_
In the context of the five review elements, please _x000D_
evaluate the strengths and weaknesses of the proposal with respect to broader impacts._x000D_
_x000D_
The broader impact section is fairly standard, integrating research with education, with diversity, etc.  This section could be more convincing._x000D_
_x000D_
Please evaluate the strengths and _x000D_
weaknesses of the proposal with respect to any additional solicitation-specific review criteria, if _x000D_
applicable_x000D_
_x000D_
_x000D_
_x000D_
Summary Statement_x000D_
_x000D_
Overall, this is a good proposal. Would be a stronger proposal with a stronger broader impact section._x000D_
_x000D_
</t>
  </si>
  <si>
    <t>Accountability in data science consists of three components. The first is fairness of learning algorithms, data collection and representation. The second is robustness, or algorithmic stability. Robustness ensures fairness, generalizability, consistency and privacy, all of which have a bearing on accountability in data science. The third is interpretability of machine learning models. Interpretability provides ability to explain decisions made by algorithms and to debug and correct the algorithms. These three themes will be addressed by a team of researchers in mathematics, computer science, statistics, electrical and computer engineering and philosophy. A transdisciplinary approach will be ensured by implementing a collaborative organizational structure in Phase I which can be scaled to a Phase II institute if needed. A data science curriculum coordinated across disciplines and semesters will be developed. Transdisciplinary training of graduate students will include a cohort of students from different departments progressing through data science electives in pairs. They will be placed in summer internships to apply the theory of accountability in data science to real-life problems. These internship placements and access to industrial and biomedical data will be facilitated by a network of organizations on campus with whom collaborative agreements have been made. For fairness, the techniques to be explored are: design of algorithms to correct for implicit bias, development of tools to understand unfairness in data collection and representation and design of metrics and coarse embeddings. The research on robustness and interpretability will also help improve fairness in data science. For robustness, Wasserstein robustness will be used to understand the robustness of machine learning pipelines in which several simpler robust boxes are interconnected in complex ways. Local robustness and weak dependence in adaptively composed algorithms will be used to yield robust data science pipelines. Theoretical tools will be developed to understand the phenomena of measure concentration in the context of robustness. Interpretable deep networks will be studied in addition to classical exemplar-based interpretable models. For deep networks, two approaches will be explored. One is to construct specialized regularization schemes and the other is to explicitly construct networks with architectural bottlenecks. The resulting reduction in expressive power in the above choices will be characterized.The algorithms and analysis developed will be of interest to machine learning researchers and practitioners and theoretical computer scientists interested in algorithmic foundations. They will also be of interest to researchers in probability theory and stochastic processes, control theory, metric and coarse geometry, scientific computing and numerical analysis. In particular, the proposed research on the composition of simple algorithmic blocks and how that impacts an overall algorithmic pipeline could be of much wider interest in several algorithmic fields. The development of a framework for algorithmic accountability will help spark many connections (as it already has) between the fields of philosophy, law and other humanistic fields. A proper understanding and implementation of fair, robust and interpretable machine learning algorithms will have a transformative impact on all disciplines that rely on such algorithms. The training of a transdisciplinary cohort of students will further amplify the interconnections between various fields. The PIs and Senior Personnel span six departments including experts in machine learning theory, geometry, statistical physics, information theory and statistics as well as several who are deeply involved with campus-wide data science and diversity initiatives.Data science algorithms exert considerable influence on people's daily lives, a trend which will only increase as we move into the age of self-driving vehicles, smart cities, personalized medicine, and artificial intelligence.  To ensure that individuals are treated ethically, the foundational work on algorithmic accountability proposed in this project is urgently needed.  This project will also enhance training in data science by developing a novel transdisciplinary training program and by supporting summer internships with industry partners.  Care will be taken to recruit women and minorities into the student cohort.</t>
  </si>
  <si>
    <t>1740818</t>
  </si>
  <si>
    <t>McGee</t>
  </si>
  <si>
    <t xml:space="preserve">Dear Professor McGee,_x000D_
_x000D_
I regret to inform you that the NSF proposal CCF 1740818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DMS 1740818 _x000D_
Title: Foundational Network Science Research as a Mechanism for Education and Outreach in Data Science _x000D_
PI: Monnie McGee, Daniel W. Engels, David W. Matula, Eli V. Olinick, Candace Walkington _x000D_
Institution: Southern Methodist University_x000D_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Information &amp; Science &amp; Engineering (CISE) and the Division of Mathematical Sciences (DMS) in the Directorate for Mathematical and Physical Sciences (MPS)._x000D_
_x000D_
Introduction:  This proposal builds upon a recently formed multidisciplinary seminar at the submitting institution, the Big Data and Society Fellows Seminar.  The research program outlined in the proposal aims to test a hypothesis that clustering data using a hierarchical clustering approach based on network flow duality is more broadly informative than several methods for producing a dendrogram._x000D_
_x000D_
Broader impacts described in the project summary include a summer data science workshop for students._x000D_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Good, Good/Fair, and Fair._x000D_
_x000D_
This proposal was among the eleven rated NDP._x000D_
_x000D_
After seeing the submitted reviews, the panelists agreed that the reviews adequately described the relative strengths and weaknesses of the proposal.  This proposal was part of a group that was not selected for in-depth discussion by the panel and placed in the "Not Discussed in Panel" category without production of a panel summary._x000D_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</si>
  <si>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The research component of this proposal is focused on the clustering methods for data. One popular type of methods, known as the hierarchical clustering, is based on the idea that objects being more related to nearby objects than to objects farther away. These algorithms connect "objects" to form "clusters" based on their distance. They yield dendrograms, which is a tree-diagram to illustrate the arrangement of the clusters through the hierarchical clustering. The PIs proposed test a hypothesis that clustering data using a hierarchical clustering approach based on network flow duality is more broadly informative than methods primarily yielding a dendrogram._x000D_
_x000D_
Part of synergy came from the Big Data and Society Fellows Seminar (BDS) which was started in May 2016. Participated by SMU faculty from statistical science, computer science and engineering, engineering management, information, and systems philosophy, anthropology, and law, the seminar seeks to accumulate research on the use of Big Data to solve societal problems, to determine holes in public policy and law that protect consumers, and to develop curriculum for the continued discussion of such issues at the undergraduate level._x000D_
_x000D_
As for the education plan, the PIs propose to create two courses: a graduate course on network science and an undergraduate course entitled 'Big Data and Society: the Good, the bad, and the Ugly' that will fulfill the general curriculum requirement. The also propose a number of educational outreach activities, including a summer Data Science Workshop for high school students, a training program for high school teachers to teach data science, a campus-wide data science film series, an SMU Symposium on Data Science that provides a showcase for their Masters students in Data Science to present their capstone projects to fellow students and industrial participants, and an SMU Data Science Student Review Journal which is an online journal to be launched in June 2017._x000D_
_x000D_
The proposed research is interesting and very much in mainstream data science. However, it is also focused on a rather specific idea, and perhaps more appropriate for a regular research proposal rather than an institute proposal._x000D_
_x000D_
As for the proposed institute activities, they appear to be more focused on the undergraduate students and Masters students. The impacts seem to be within the institution.  The engagement of industry is minimally discussed._x000D_
_x000D_
In the context of the five review elements, please _x000D_
evaluate the strengths and weaknesses of the proposal with respect to broader impacts._x000D_
_x000D_
The broader impacts are thoroughly discussed.  The PIs indicated impacts in facilitating a common vocabulary for data science by bringing people together, educational enhancement, broadening the participation in STEM workforce, and dissemination through their symposium and journals. These are good impacts._x000D_
_x000D_
Please evaluate the strengths and _x000D_
weaknesses of the proposal with respect to any additional solicitation-specific review criteria, if _x000D_
applicable_x000D_
_x000D_
The proposed research is more for the PIs and their graduate research assistants, while the training is more for undergraduates and Masters students.  Therefore, the research and training are not quite well-integrated._x000D_
_x000D_
The educational and training activities have some novelties, but again the impacts are more at undergraduate level._x000D_
_x000D_
The project does bring people from mathematics, statistics, computer sciences, as well as other domain sciences.  There is good synergy among these people. The interaction with industry does not seem to be well-developed._x000D_
_x000D_
The Phase 2 operation was thoroughly discussed, and are the plans for collaboration and evaluation._x000D_
_x000D_
_x000D_
_x000D_
_x000D_
The research and training are integrated to some degree.  The research are at_x000D_
_x000D_
Summary Statement_x000D_
_x000D_
This is a good proposal from a group people who have demonstrated a good synergy and passion to the development of a Data Science Center. It could be further enhanced by broadening its research focus, a better integration of research and education._x000D_
_x000D_
_x000D_
</t>
  </si>
  <si>
    <t xml:space="preserve">In the context of the five review elements, please _x000D_
evaluate the strengths and weaknesses of the proposal with respect to intellectual merit._x000D_
_x000D_
The proposed research activities centers on clustering and network analysis. While the project is interesting, it does not seem to address the foundational theoretical issues of data science. The synergy among theoretical CS, math, and stat is not strong._x000D_
_x000D_
In the context of the five review elements, please _x000D_
evaluate the strengths and weaknesses of the proposal with respect to broader impacts._x000D_
_x000D_
The proposal lists a number of educational and research activities, as well as the planned timeline. However, the plan for building a center is not strong._x000D_
_x000D_
Please evaluate the strengths and _x000D_
weaknesses of the proposal with respect to any additional solicitation-specific review criteria, if _x000D_
applicable_x000D_
_x000D_
The focus of the proposed research is quite narrow, and does not address foundational issues of data science._x000D_
_x000D_
Summary Statement_x000D_
_x000D_
The proposed research is not a strong match to the program in that it does not address the broader foundational issue of data science through the collaborations among researchers from theoretical computer science, statistics and mathematics._x000D_
_x000D_
</t>
  </si>
  <si>
    <t xml:space="preserve">In the context of the five review elements, please _x000D_
evaluate the strengths and weaknesses of the proposal with respect to intellectual merit._x000D_
_x000D_
The technical focus of the proposal data clustering, and the proposal aims to show that hierarchical clustering based on network flow duality beats traditional dendrogram plots. _x000D_
_x000D_
Clustering is an important problem in data mining.  Dendrogram plotting is a standard tool in statistics packages like R; hierarchical clustering has received quite a bit of attention in the TCS community. The PIs present existing work related to   flow-based formulation for sparsest, flowthrough centrality etc.    The proposed work includes studying the stability of the flowthrough centrality metric, testing on biological datasets, etc.  _x000D_
_x000D_
+ Worthy goal to study and compare these two approaches systematically.   _x000D_
+ The proposal is well written, an easy read.  _x000D_
+ The PIs are well qualified for the tasks, and the proposals have concrete tasks for each PI to accomplish.  _x000D_
+ Interaction among math, TCS and statistics is obvious._x000D_
_x000D_
-- The main weakness is that the single focus on hierarchical clustering makes the proposal quite narrow and not very innovative.  _x000D_
- Lacks big picture and vision for data science research._x000D_
- Perhaps more suitable for a "regular" NSF proposal, but lacks "center-like" feel for a TRIPODS proposal._x000D_
_x000D_
Overall, this is a low-risk proposal that will lead to useful and concrete discoveries, but probably not transformative. _x000D_
_x000D_
_x000D_
In the context of the five review elements, please _x000D_
evaluate the strengths and weaknesses of the proposal with respect to broader impacts._x000D_
_x000D_
The broad impact includes creating common vocab for data scientists across multiple disciplines, sustaining interests in IT/STEM careers for underrepresented groups etc.  _x000D_
_x000D_
Again, these are achievable concrete tasks, not quite original._x000D_
_x000D_
Please evaluate the strengths and _x000D_
weaknesses of the proposal with respect to any additional solicitation-specific review criteria, if _x000D_
applicable_x000D_
_x000D_
_x000D_
_x000D_
Summary Statement_x000D_
_x000D_
This is a fine proposal, competent PIs with a set of concrete tasks, but it is not very ambitious or creative. The proposal can be much strengthened if it is broader,_x000D_
_x000D_
</t>
  </si>
  <si>
    <t>This proposal aims to test a hypothesis that clustering data using a hierarchical clustering approach based on network flow duality is more broadly informative than methods primarily yielding a dendrogram, such as Ward's method, centroid linkage, and the Girvin-Newman algorithm. The PIs will conduct the investigation with support from a proposed transdisciplinary center for data science. Research on substructures of networks will be used to create a new course in network science for graduate students. Outreach activities include the triannual SMU Symposium in Data Science, displaying work of undergraduate and graduate students, postdoctoral researchers, and faculty working in data science related fields. The center faculty will conduct a summer workshop for AP statistics and calculus students.Since May of 2016, faculty at Southern Methodist University (SMU) from statistical science, computer science and engineering, engineering management, information, and systems philosophy, anthropology, and law have been meeting together to form the Big Data and Society Fellows Seminar (BDS). The purpose of the BDS is to accumulate research on the use of Big Data to solve societal problems, to determine holes in public policy and law that protect consumers, and to develop curriculum for the continued discussion of such issues at the undergraduate level._x000D_
	As a group, the BDS has determined that the study of networks is an enabling platform for many important applications, such as biological pathways, terrorist networks, computer security, and societal structure. An important step in identifying communities is to visualize the results, typically in the form of a dendrogram, a rooted tree where the branching points down the tree are assigned numeric levels corresponding to the similarity between the two sub-communities being joined at that point. Dendrograms are most often produced via agglomerative hierarchical clustering methods, which are easily implemented on large data sets, although they often have the following issues: (1) small perturbations of the input can cause changes in the hierarchy that are highly discontinuous and (2) having identified distinct clusters, there is no measure of pairwise relative relations for individuals clustered within the same substructure. The maximum concurrent flow problem (MCFP) is a peer-to-peer network flow problem defined on an edge-capacitated graph where the objective is to maximize the ratio of the flow delivered between each peer-to-peer pair in comparison to the corresponding demand for that pair. Experiments with algorithms using MCF to determine substructure suggest a novel divisive clustering algorithm that retains information from the entire data set at each level of the hierarchy, the hierarchical MCFP. Since the algorithm is divisive, it is robust to changes in the hierarchy at lower levels. Furthermore, the use of flowthrough centrality as a metric for dividing nodes indicates the extent to which nodes are important hubs for flow between other pairs of nodes in the network, and provides measures for every cluster at every level. This solution will lead to enhanced visualization of network structure and robust measures of relationships between substructures illustrated by an evolving "backbone" subnetwork.The proposed research and center for data science will facilitate a common vocabulary for data science by bringing together data scientists from multiple departments and programs across SMU and the DFW Metroplex. Through the center, faculty from disciplines from the humanities to engineering can form intramural and extramural research collaborations to solve problems involving network structure or other areas in data science. Secondly, research in the clustering and visualization of network substructures will be used as a platform for enhancing education in data science across multiple academic disciplines. Thirdly, a proposed summer data science workshop will sustain the interest of youth from underrepresented groups in STEM disciplines and develop their abilities to use information technologies to collect, analyze, and interpret data to solve real-world problems. Finally, the PIs will disseminate contributions to data science via the SMU Data Science Symposium, the SMU Data Science Review Journal, and a publically accessible website. The symposium and the journal will provide valuable practice for students in oral and written research presentation, and provide mechanisms for the community to learn about research in data science.</t>
  </si>
  <si>
    <t>1740821</t>
  </si>
  <si>
    <t>Vardi</t>
  </si>
  <si>
    <t xml:space="preserve"> Panel Summary       
 Description: The PIs propose an institute TriTex covering Rice, UT-Austin and Texas A&amp;M. The research has an overall vision of approximating functions and their properties, probabilistic reasoning, trading off between accuracy and complexity, and interpreting the learned algorithms. Beyond research, the institute will focus on education and training, diversity and external engagement. _x000D_
_x000D_
Intellectual Merit: _x000D_
_x000D_
Strengths _x000D_
+ Strong large collection of researchers across all three disciplines (TCS, math, stats)_x000D_
+ Good overall vision._x000D_
+ Well-designed leadership structure of center_x000D_
_x000D_
Weaknesses _x000D_
- No significant description on how to engage among the three universities or the three disciplines_x000D_
- The details of the three areas are not well fleshed out and do not suggest transformative research._x000D_
- The work on approximation algorithms for probabilistic reasoning appears to only involve a single PI_x000D_
_x000D_
Broader Impact: _x000D_
_x000D_
Strengths _x000D_
+ Great plan for diversity outreach via working with outreach to high schools and mentoring workshops_x000D_
+ Strong modular approach to PhD/postdoc training and development_x000D_
+ Plan for industrial engagement through partnership workshops and training_x000D_
_x000D_
Weaknesses _x000D_
-   No significant weaknesses in the broader impacts_x000D_
_x000D_
TRIPODS-specific criteria: _x000D_
_x000D_
Strengths _x000D_
+ Center description extremely well written and presented. _x000D_
+ Captures all three areas. _x000D_
+ Well-designed structure and leadership _x000D_
+ Plan for Phase II already well-designed and in place_x000D_
_x000D_
Weaknesses _x000D_
- Coordination among institutes and the large number of researchers not well spelled out_x000D_
- May be difficult to achieve full vision of the institute_x000D_
- No discussion of physical location of institute_x000D_
_x000D_
Collaboration and Evaluation Plan: Well-designed and structured._x000D_
_x000D_
Data Management Plan: Solid _x000D_
_x000D_
Post-doctoral Mentoring Plan: Good. Suggest that each postdoc gets a specific faculty mentor._x000D_
_x000D_
Justification for Panel Rating: While the overall center was well formulated, the individual research elements lacked depth and significant synergy among the three areas._x000D_
_x000D_
Panel Rating: _x000D_
_ Highly Recommended _x000D_
_ Recommended _x000D_
X Not Recommended _x000D_
_x000D_
The summary was read by/to the panel and the panel concurred that the summary accurately reflects the panel discussion. 
</t>
  </si>
  <si>
    <t>Mallick</t>
  </si>
  <si>
    <t>1740755</t>
  </si>
  <si>
    <t xml:space="preserve">Dear Professor Moshe Y. Vardi, Professor Mallick, and Professor Dhillon,_x000D_
_x000D_
I regret to inform you that the NSF proposal CCF 1740821; 1740755; 1740817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CCF 1740821; 1740755; 1740817 _x000D_
Title: Collaborative Research: Texas TRIPOD for Research on Algorithmic Foundations of Data Science _x000D_
PIs: Moshe Y. Vardi, Genevera Allen, Richard G. Baraniuk, Illya V. Hicks, Marina Vannucci; Bani K. Mallick, Dilma Da Silva, Ronald A. DeVore, Nicholas Duffield, Valen E. Johnson; Inderjit S. Dhillon, Michael J. Daniels, Adarm R. Klivans, Peter Mueller, Rachel Ward _x000D_
Institution: William Marsh Rice University; Texas A&amp;M University; University of Texas at Austin_x000D_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This is a collaborative submission from three campuses in the state of Texas.  The project description sketches the research agenda as an effort focused on algorithms, computation, and inference with the aim to develop new algorithms that permit users and applications to explore trade-offs between accuracy, computational complexity, and statistical efficiency._x000D_
_x000D_
Broader impacts described in the project summary include integration and growth of the statewide data-science ecosystem._x000D_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V, G, and G._x000D_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</si>
  <si>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Dhillon</t>
  </si>
  <si>
    <t>1740817</t>
  </si>
  <si>
    <t xml:space="preserve">Dear Professor Vardi, Professor Mallick, and Professor Dhillon,_x000D_
_x000D_
I regret to inform you that the NSF proposal CCF 1740821; 1740755; 1740817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CCF 1740821; 1740755; 1740817 _x000D_
Title: Collaborative Research: Texas TRIPOD for Research on Algorithmic Foundations of Data Science _x000D_
PIs: Moshe Y. Vardi, Genevera Allen, Richard G. Baraniuk, Illya V. Hicks, Marina Vannucci; Bani K. Mallick, Dilma Da Silva, Ronald A. DeVore, Nicholas Duffield, Valen E. Johnson; Inderjit S. Dhillon, Michael J. Daniels, Adarm R. Klivans, Peter Mueller, Rachel Ward _x000D_
Institution: William Marsh Rice University; Texas A&amp;M University; University of Texas at Austin_x000D_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This is a collaborative submission from three campuses in the state of Texas.  The project description sketches the research agenda as an effort focused on algorithms, computation, and inference with the aim to develop new algorithms that permit users and applications to explore trade-offs between accuracy, computational complexity, and statistical efficiency._x000D_
_x000D_
Broader impacts described in the project summary include integration and growth of the statewide data-science ecosystem._x000D_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V, G, and G._x000D_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</si>
  <si>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A proposal for a data science institute at Rice with partnership from UT Austin and A&amp;M.  The institutional structure, outreach etc. were well-written. _x000D_
_x000D_
The heart of the proposal was an intriguing idea to speed up inference on Bayesian models by leveraging recent progress in SAT solving. This is done by using hashing to reduce counting to SAT solving (an old idea in computational complexity theory from 1980s; apparently now almost practical thanks to work of Vardi and coauthors).  The open problem is to adapt these ideas so they can effectively use modern distributed environments (it is odd that GPUs were not mentioned?? Would that be a potential research problem?) _x000D_
_x000D_
Section 3.2.3 is a solid project in studying tradeoffs between computational accuracy and statistical sample complexity etc but does not seem weighty enough for being one of three main themes._x000D_
_x000D_
Last section on interpretability is oddly written. It started off by seeming to conflate interpretability with domain adaptation (I think) and then tries to connect this to reproducibility in science. Ultimately the research program in this section is not as compelling and central to data science, or to what is normally meant as "interpretability."_x000D_
_x000D_
Thus the main shortcoming was the research plan. All problems were described in narrative way without mathematical details and a plan of action for attacking them. The topics seemed somewhat non-mainstream. This would be fine, but the onus then is on the proposers  to argue strongly for their idiosyncratic take. _x000D_
_x000D_
_x000D_
_x000D_
_x000D_
In the context of the five review elements, please _x000D_
evaluate the strengths and weaknesses of the proposal with respect to broader impacts._x000D_
_x000D_
If the research on using progress on satisfiability to solve problems in bayesian modeling works out this would be great progress on a fundamental problem with multidisciplinary impact. It is high-risk but high-impact. _x000D_
_x000D_
The Tritex vision is compelling as a way to advance data science at these Texas institutions. The plans for outreach to underrepresented groups is convincing._x000D_
_x000D_
The dissemination plan with workshops, teaching modules etc. is also very good._x000D_
_x000D_
Please evaluate the strengths and _x000D_
weaknesses of the proposal with respect to any additional solicitation-specific review criteria, if _x000D_
applicable_x000D_
_x000D_
It is a well-written proposal that addresses the basic Tripods criteria. The strengths are the broader impacts section, good involvement of researchers from different fields (at least on paper), excellent plans for Tritex and how it would evolve in Phase II by leveraging other local resources.  _x000D_
_x000D_
The proposed plan for Tritex as a data science alliance of Texas universities is actually *excellently written* in all counts: curriculum development with a well-thought out "modular" approach (which they liken to divide and conquer). Within each module students will have hands-on experience with data as well as mathematical understanding. _x000D_
_x000D_
The writeup on the administrative structure of Tritex and its various forms of outreach (including to industry) is also fantastic, with detailed plans about how it would be run in practice, and the exact management and evaluation practices. _x000D_
_x000D_
This entire section is much more crisp and compelling than the research part. _x000D_
_x000D_
The weakness of the proposal is the research plan as noted. The high-risk high reward plan for bayesian modeling via solving SAT is commendable, but seems to involve only the lead PI; it is not a true collaboration. _x000D_
_x000D_
In fact the proposal seems to have been written by a subset of the team and it isn't clear it actually leverages all the available talent in the region._x000D_
_x000D_
Summary Statement_x000D_
_x000D_
A good proposal ---even excellent on the center proposal---but with some weaknesses noted above._x000D_
_x000D_
</t>
  </si>
  <si>
    <t xml:space="preserve">In the context of the five review elements, please _x000D_
evaluate the strengths and weaknesses of the proposal with respect to intellectual merit._x000D_
_x000D_
This center with the clever name, TriTex, combines researchers from three major Texas research institutions, Rice and the flagship campuses of the University of Texas and Texas A&amp;M. _x000D_
_x000D_
The proposal takes an abstract approach to data science, as approximating a function or properties of it from data observations.  The proposal divides this research into four parts, the first talks about functions as mathematical objects, the second as probabilistic reasoning, the third about the trade-offs between accuracy and complexity and the fourth about interpreting the learned algorithms. _x000D_
_x000D_
Each section describes the approach by the (many) PIs. In general these are some of the top researchers in learning, statistics and mathematics and many of them have had strong results in these directions._x000D_
_x000D_
While the proposal does hit on several themes that are common to theoretical computer science, statistical and mathematical approaches to data science, there's not a clear description of how these areas will work directly together to solve these problems._x000D_
_x000D_
Of the broad themes, this proposal hits on developing common concepts and to some extent terminology and unifying curriculum, with some limited industry engagement. _x000D_
_x000D_
_x000D_
In the context of the five review elements, please _x000D_
evaluate the strengths and weaknesses of the proposal with respect to broader impacts._x000D_
_x000D_
The broader impacts focus on education and training programs and a refreshingly extensive approach to diversity outreach. The education offers a modular approach, initially graduate courses slowly developed that connects the different research areas in data science, as well as a strong plan for mentoring grad students and postdocs. The diversity outreach has a specific PI coordinator and has strong plans from Texas high schools through postdoctoral students._x000D_
_x000D_
Even though this is a mostly foundations solicitation it would have been nice to see a more direct connection between industry or other academic fields and the research agenda._x000D_
_x000D_
_x000D_
Please evaluate the strengths and _x000D_
weaknesses of the proposal with respect to any additional solicitation-specific review criteria, if _x000D_
applicable_x000D_
_x000D_
As a center this is a very large operation (50 biosketches!). The leadership structure is extremely well thought out, though not sure how or where the various researchers will collaborate. The measure of success, using academic metrics and collaboration graphs seems good. _x000D_
_x000D_
There is definitely strength in all three areas, research leaders in the different aspects of data science that will complement each other well. There are good plans on the education side to have them work together but on the research side this is less clear. There is a solid common vision as mentioned in the intellectual merit section._x000D_
_x000D_
The center structure for Phase II seems to be already in place. What's missing is location, which campus will it be housed in and is space available._x000D_
_x000D_
_x000D_
Summary Statement_x000D_
_x000D_
This is a strong proposal with a good common vision and general research directions that do tie in all of mathematics, theoretical computer science and statistics. Would like to see a stronger synergy plan among these communities. The management structure, certainly needed for this large operation, is well thought out but it would be nice to see stronger plans to integrate the individual researchers. _x000D_
_x000D_
_x000D_
</t>
  </si>
  <si>
    <t xml:space="preserve">In the context of the five review elements, please _x000D_
evaluate the strengths and weaknesses of the proposal with respect to intellectual merit._x000D_
_x000D_
+ The proposal is well articulated and comes from a truly interdisciplinary and multi-university team across from mathematics, statistics and computer science. It is articulated around 3 well defined modules._x000D_
+ The team includes a diversity of PIs, include ranging from well established researchers to rising stars._x000D_
_x000D_
-  The three main thrusts are somewhat unoriginal and narrow (though using SAT solvers is an interesting idea). Moreover, most aspects of section 3.2.3 have already received significant attention. _x000D_
- Overall, the proposal fails to put forward an overarching principle or to demonstrate a potential for impactful research. While papers are likely to be produced, it does not appear that the proposal is aiming for truly transformative contributions but rather follow up work._x000D_
_x000D_
In the context of the five review elements, please _x000D_
evaluate the strengths and weaknesses of the proposal with respect to broader impacts._x000D_
_x000D_
+ A strong proposal regarding broader impacts with innovative outreach activities and educational plans._x000D_
+ PIs have a good track record of promoting research to women and URMs._x000D_
_x000D_
Please evaluate the strengths and _x000D_
weaknesses of the proposal with respect to any additional solicitation-specific review criteria, if _x000D_
applicable_x000D_
_x000D_
+ Very strong interdisciplinarity_x000D_
+ Evaluation plan is well thought out._x000D_
+ Budget towards institute meeting is a good allocation of funds._x000D_
_x000D_
- Coordination between institutions may present unforeseen logistical hurdles_x000D_
- Making the proposal broader within Texas has the downside effect to make it isolated from other institutions in the country._x000D_
_x000D_
Summary Statement_x000D_
_x000D_
Despite a diverse and interdisciplinary team of researchers and a true effort of bringing together many players with different skills the proposal fails to put forward an overarching principle or to demonstrate a potential for impactful research._x000D_
_x000D_
</t>
  </si>
  <si>
    <t>Data science is rapidly evolving as an essential interdisciplinary field, where advances often result from combinations of ideas from several disciplines. New types of large data have emerged that present unprecedented complexities and challenges that require a new way of thinking. This new way of thinking is inherently interdisciplinary, where skills that transcend single disciplines are needed. The Texas Tripod for Research on Algorithmic Foundations of Data Science (TRITEX) will bring together researchers in computer science, mathematics, and statistics to develop capabilities and capacity around data-analysis algorithms where users can explore the trade-offs between accuracy, computational complexity, and statistical efficiency._x000D_
_x000D_
To complement the research effort, TRITEX workforce program will develop and pilot curriculum, concept maps, modules, and rubrics to educate and train graduate students and postdoctoral fellows in areas that combine computer science, mathematics, and statistics. TRITEX will develop targeted outreach programs to increase the pool of women and underrepresented minorities who pursue data-science careers, and an external engagement program designed to increase contact and collaborations with domain scientists and external data scientists. All three of these efforts will help to provide the intellectual foundation for a new generation of scientists poised to make novel breakthroughs in this exciting area, and to contribute to the research and design efforts in the private and public sectors.With modern large data sets, finding answers to seemingly simple questions often turns into an intractable computational problem. To address this, TRITEX will advance the foundations of data science by performing research on algorithms, computation, and inference. We will develop data-analysis algorithms where users can explore the trade-offs between accuracy, computational complexity, and statistical efficiency. TRITEX will bring together three top research institutions in Texas (Rice University, Texas A&amp;M University, and The University of Texas at Austin), and researchers from three disciplinary areas (computer science, mathematics, and statistics) to conduct research on the algorithmic foundations of data science, motivated by problems arising in the biomedical arena, such as high-throughput genomics, in the energy arena, such as reflection seismology, in the transportation arena, such as traffic analytics, and in the finance arena, such as predictive market models.Each TRITEX partner institution has major data-science activities underway in research, workforce development and external engagement. These include Rice's $43 million investment in a campus wide Data-Science Initiative, adding 8-10 new faculty members in data-science; Texas A&amp;M's leadership in NSF Big Data Smart Grids Spoke with over 200 members from universities, industry, and non-profit organizations, and Center for Geospatial Sciences, Applications and Technology; and UT Austin's Center for Big Data Analytics that brings together computer science, mathematics, and statistics, working on applications from diverse areas, such as network analysis, predictive modeling, cancer genomics and bioinformatics. TRITEX will engage with and enhance these efforts by providing coordination and creating synergy in research, workforce development, and external engagement. TRITEX will enhance, integrate and grow the data-science ecosystem across Texas, and through partner institutions network, extend TRITEX's reach regionally, nationally, and globally._x000D_
_x000D_
TRITEX's Phase I effort is focused on executing on the proposed activities, building deep and broad collaborations across Rice, Texas A&amp;M, and UT Austin, and developing capacity in research, industry and domain-science engagement, and workforce development. TRITEX leaders will also look beyond the three TRITEX partner institutions to develop broader university collaborations, look for engagement with predominantly minority universities in Texas, and extend our engagement network that may be included in a future Phase II proposal. This will extend our research, education, outreach programs as well as extend our program beyond the initial set of domain sciences and industries.</t>
  </si>
  <si>
    <t>1740822</t>
  </si>
  <si>
    <t>Weinberger</t>
  </si>
  <si>
    <t xml:space="preserve"> Panel Summary       
 Description: The PIs propose the creation of a Center for the Social Good at Cornell University. Proposed research topics include privacy and fairness, learning on social graphs, learning to intervene, uncertainty quantification, and deep learning. The proposal also outlines a number of center activities including workshops, seminars, course creation, and support for postdocs. _x000D_
_x000D_
Intellectual Merit: The panel felt that the PIs form a strong group and represent the core disciplines well.  They present an exciting plan for a Phase I TRIPODS institute.  The panel praised the proposal's "social good" theme and the emphasis on the TRIPODS broad theme on privacy, and fairness.  Other research topics, such as learning interventions and understanding deep learning, were also compellingly described. _x000D_
_x000D_
Broader Impact: The project could have an impact on policy making for social good. The proposal also includes transdisciplinary collaboration, mentorship of postdocs and students, and curriculum development. One panelist suggested that the curriculum development portion of the proposal could have been stronger. Another panelist listed the intention to try to break existing methods and work on uncertainty quantification as strengths. _x000D_
_x000D_
TRIPODS-specific criteria: _x000D_
The PIs and senior faculty represent the disciplines of mathematics, computer science, statistics, and optimization. They have strong individual and collaborative track records in research and in running center-like activities such as seminars and workshops. The research and center plans build on these strengths. The workforce development plans, interaction with domain sciences and industry are sufficient. The measures of success could be stronger and some panelists suggested forming an (external) review board to evaluate strengths and weaknesses of the Phase I institute as well as progress towards Phase II. _x000D_
_x000D_
_x000D_
Postdoctoral Mentoring Plan:_x000D_
The mentoring plan is reasonable. _x000D_
_x000D_
Collaboration and Evaluation Plan:_x000D_
The Collaboration and Evaluation Plan is adequate but would benefit from a more extensive plan to review and adapt institute structures and strategies._x000D_
_x000D_
Data Management Plan:_x000D_
The Data Management Plan, in particular the commitment to make code and other work products publicly available, is good. _x000D_
_x000D_
Suggestions to the PI:  _x000D_
The panel recommends strengthening the plans for assessment and notes that curriculum development and workforce training could also be improved/increased._x000D_
_x000D_
Justification for Panel Rating:_x000D_
This is an exceptionally strong and well-rounded proposal with an exciting theme.  The panel feels that this group is well-positioned for success in establishing a TRIPODS institute._x000D_
_x000D_
Panel Rating: _x000D_
Highly Recommended _x000D_
_x000D_
The summary was read by/to the panel and the panel concurred that the summary accurately reflects the panel discussion. 
</t>
  </si>
  <si>
    <t>smeacham</t>
  </si>
  <si>
    <t>The researchers propose to create a center of data science for improved decision-making that combines expertise from computer science, information science, mathematics, operations research, and statistics. Their goal is to pursue basic research that will contribute to the theoretical foundations of data science.  The research topics chosen have applications that can benefit society as a whole and integrate the perspectives of the disciplines that the project brings together. The five concrete research directions proposed are: Privacy and Fairness, Learning on Social Graphs, Learning to Intervene, Uncertainty Quantification, and Deep Learning. The aim of the Center is to advance knowledge in these areas and to broaden the range of disciplines and perspectives that can provide contributions to these challenging issues. The researchers plan to incorporate the community beyond Cornell through online seminars, workshops, and student conferences. _x000D_
_x000D_
The research findings will provide an urgently needed foundation for data science in several topic areas of importance to society. As the center is placed at the intersection of multiple disciplines, the intellectual merit spans all disciplines involved and findings may translate to new algorithms and approaches in each one of them.  _x000D_
_x000D_
The research focus spans five core areas. _x000D_
_x000D_
1. Privacy and Fairness.  As data science becomes pervasive across many areas of society, and as it is increasingly used to aid decision-making in sensitive domains, it becomes crucial to protect individuals by guaranteeing privacy and fairness.  The investigators propose to research the theoretical foundations to providing such guarantees and to surface inherent limitations. _x000D_
_x000D_
2. Learning on Social Graphs. Many of the fundamental questions in applying data science to the interactions between individuals and larger social systems involve the social networks that underpin the connections between individuals. The researchers will develop new techniques for understanding both the structure of these networks and the processes that take place within them._x000D_
_x000D_
3. Learning to Intervene. Data-driven approaches to learning good interventions (including policies, recommendations, and treatments) inspire challenging questions about the foundations of sequential experimental design, counterfactual reasoning, and causal inference._x000D_
_x000D_
4. Uncertainty Quantification. Quantifying uncertainty about specific predictions or conclusions represents a key need in data science, especially when applied to decision-making with potential consequences to human subjects. The researchers will develop statistical tools and theoretical guarantees to assess the uncertainties of predictions made by popular algorithms in data science. _x000D_
_x000D_
5. Deep Learning. Deep Learning algorithms have made impressive advances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_x000D_
_x000D_
Advances in our theoretical understanding of these phenomena requires combined efforts from optimization, statistics, and mathematics but could lead to insights for all aspects of data science._x000D_
_x000D_
Funds for the project come from CISE Computing and Communications Foundations, MPS Division of Mathematical Sciences, MPS Office of Multidisciplinary Activities, and Growing Convergent Research.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</si>
  <si>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 xml:space="preserve">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Dear Professors Weinberger, Hooker, Kleinberg, Shmoys, and Strogatz,_x000D_
_x000D_
Congratulations! I am delighted that your proposal submitted to the Transdisciplinary Research in Principles of Data Science Phase I solicitation has received an award. This will be a three-year standard award in the total amount of $1,496,655.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 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Panel Ranking: _x000D_
_x000D_
The review ratings of the proposal are:  E, E, E/V.  This proposal was placed in the Highly Recommended category.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$1,496,655._x000D_
</t>
  </si>
  <si>
    <t>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 E, E/V.  This proposal was one of two placed in the Highly Recommended category and was ranked first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This was the top-ranked proposal in the panel.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Suitability for Convergence co-funding:_x000D_
_x000D_
In the social, educational, and biomedical sciences, researchers are often faced with the challenge of developing personalized interventions or treatments, while at the same time being cognizant of issues related to data confidentiality and individual privacy.  With the widespread use of machine learning algorithms for decision making, questions of what makes an algorithm fair are being raised.   The project addresses foundational questions related to privacy, fairness, deep learning, and uncertainty quantification motivated by applications in education and neuroscience.  The team includes researchers with expertise in the life and social sciences  and computer scientists, statisticians, and mathematicians.  _x000D_
_x000D_
These compelling societal issues that arise in data science require transdisciplinary solutions to challenging technical problems.  The PI team possesses strong individual and collaborative track records in these areas that cross the TRIPODS disciplines.  Several of the PIs have worked on transdisciplinary projects for much of their career, and have had enormous impact in these projects.  The plan includes a range of activities that will support the convergent nature of the topics under study. The team also plans to develop new undergraduate courses in data science designed to scale to large numbers of students, and to publicly share code and other work products._x000D_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  The funding is distributed as follows:_x000D_
_x000D_
FY 2017_x000D_
OIA      Org Code 01060000  PEC 8078  $400,033 appropriation 0116_x000D_
CCF      Org Code 05010000  PEC 041Y  $298,311_x000D_
DMS      Org Code 03040000  PEC 041Y  $298,311_x000D_
MPS/OMA	 Org Code 03060000  PEC 1253  $500,000_x000D_
_x000D_
PRCs: _x000D_
_x000D_
047Z TRIPODS Phase 1_x000D_
062Z Harnessing the Data Revolution_x000D_
060Z CONVERGENCE_x000D_
_x000D_
Tracy Kimbrel, Program Officer_x000D_
Division of Computing and Communication Foundations_x000D_
July 10,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</si>
  <si>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The PIs put forward a proposal to create a Center for Data Science for Social Good. To be honest, I was originally somewhat put off both by the need to have a 'theme' and for the theme being [I am paraphrasing] to do research that runs against the [potential] skew imposed by the interests of large corporations and organizations. The actual content of the proposal, though, was so good that these concerns faded away. _x000D_
_x000D_
Of the different research topics in the proposal, I was most excited by the work on Privacy and Fairness, Uncertainty Quantification, and Deep Learning. _x000D_
_x000D_
In Privacy and Fairness, I believe that Adversarial Examples are a fantastic idea and an excellent probe into Deep Networks. The fact that a neural net trained to perform extremely well on a competition dataset can be completely confounded by visual changes that are imperceptible to humans is an incredibly illuminating finding, a 'guiding light' really. It means that DNNs 'see' very differently from how we see, to the point that one concern is that all that's really going on is a sophisticated form of hashing. At any rate, it is obvious that adversarial examples pose a security threat. The fact that they can also be used to violate privacy is yet another reason to understand what's going on and, ideally, design DNNs that can not be fooled by them. I also found the work in [54] extremely interesting and promising and truly foundational. If extensions of that works pan out, in my mind a significant fraction of the proposal's goals will have been met._x000D_
_x000D_
The proposed research on depolarization is interesting, but not really foundation building._x000D_
_x000D_
The proposed research in relation to Deep Learning is excellent. Both the need to connect optimization to generalization, i.e., why 'naive' algorithms act as good regularizers, and the need for interpretable outputs are fundamental problems. Similarly, for gathering evidence for and exploiting the manifold hypothesis. _x000D_
_x000D_
The work on Uncertainty Quantification seems to me to have great potential for broader impact. In the sense that as algorithms make more and more human-relevant decisions, being able to quantify uncertainty will be very beneficial in auditing and policy-setting._x000D_
_x000D_
_x000D_
In the context of the five review elements, please _x000D_
evaluate the strengths and weaknesses of the proposal with respect to broader impacts._x000D_
_x000D_
Broader Impact is 'baked in' the topic of the proposal, so the proposal scores very highly in that regard. In some sense, even just knowing that certain things are possible to do if one uses 'the right algorithms' (at some computational or even performance/accuracy cost), can act as a strong force towards corporations and governments to 'do the right thing'._x000D_
_x000D_
Please evaluate the strengths and _x000D_
weaknesses of the proposal with respect to any additional solicitation-specific review criteria, if _x000D_
applicable_x000D_
_x000D_
I would have like to see some more connections to statistics in the proposal. Currently this connection seems limited to the (rather narrow) area of Uncertainty Quantification._x000D_
_x000D_
_x000D_
Summary Statement_x000D_
_x000D_
This was the best proposal I reviewed._x000D_
_x000D_
</t>
  </si>
  <si>
    <t xml:space="preserve">In the context of the five review elements, please _x000D_
evaluate the strengths and weaknesses of the proposal with respect to intellectual merit._x000D_
_x000D_
The proposal focuses on the creation of a Center of Data Science for the Social Good at Cornell University.  Key research topics include privacy and fairness, learning on social graphs, learning to intervene, uncertainty quantification, and deep learning.  These are all important topics in data science and the focus on applications in policy making, studying underrepresented populations, and the ethical treatment of sensitive data are particularly compelling._x000D_
_x000D_
_x000D_
In the context of the five review elements, please _x000D_
evaluate the strengths and weaknesses of the proposal with respect to broader impacts._x000D_
_x000D_
The emphasis on applications related to the ''social good'' leads naturally to the conclusion that this institute could have far-reaching broader impact.  The proposal includes a plan for the creation at Cornell of a graduate field of Data Science (to add to the list of existing graduate fields of Computer Science, Information Science, Applied Mathematics, and Statistics).  Advisors may come from a variety of departments whereas the student enters the graduate field of study, a useful mechanism for transdisciplinary training.  There is also support for three 3-year postdoctoral researchers, seminars, (remote) lecture series, and workshops, often based on current programs.  The proposal also presents solid plans  to optimize for diversity, effective interaction and collaboration, and good mentorship.  Plans to create and publicly share materials for an undergraduate data science course designed to scale to large numbers of students (modeled on the course 'Foundations of Data Science' developed at the University of Berkeley) and to publicly share code and other work products are also strengths of this proposal._x000D_
_x000D_
Please evaluate the strengths and _x000D_
weaknesses of the proposal with respect to any additional solicitation-specific review criteria, if _x000D_
applicable_x000D_
_x000D_
The proposal has an exceptionally strong collection of PIs and senior faculty from diverse research fields and with experience organizing (on a smaller scale) the types of activities being proposed.  The Evaluation Plan is reasonable but could be strengthened through the use of external reviewers or using quantitative measures beyond participant surveys and counting work products.  The proposal contains a nice list of seminars, workshops and other events and evaluating which have the most impact or could benefit from changes would be beneficial for a Phase II proposal._x000D_
_x000D_
Summary Statement_x000D_
_x000D_
Of the proposals I've reviewed, this has the most exciting unifying theme and collection of proposed research projects and activities.  The Data Management and Postdoctoral Mentoring Plans are reasonable, and the structure described throughout the proposal for recruiting and incorporating postdoctoral researchers into the activities of the proposed Center is strong.  This proposal is in the top third of those I've reviewed._x000D_
_x000D_
</t>
  </si>
  <si>
    <t xml:space="preserve">In the context of the five review elements, please _x000D_
evaluate the strengths and weaknesses of the proposal with respect to intellectual merit._x000D_
_x000D_
This is a very strong team of PIs appropriately spanning the 3 areas covered by TRIPODS. The PIs have a good track record of work on the topics in the proposal - private data leaked in models learnt by machine learning algorithms, impossibility of simultaneously achieving two reasonable fairness measures, understanding deep learning, etc. They also propose to look into interventions for fairness - with an interesting model of this as the rechargeable bandits problem._x000D_
_x000D_
There is a lot of related work on many of the problem directions proposed here such as work by Hardt and collaborators, Kearns, Roth and collaborators, etc._x000D_
_x000D_
Yes, the proposal identified specific research topics for which expertise in computer science, mathematics, and statistics is needed. _x000D_
_x000D_
There is not much of a description of center-like activities, except for co-locating post-docs in Math, CS, and Stat, and plans to use_x000D_
the 'graduate field' concept at Cornell University to find a common home for grad students doing data science from any of the 3 perspectives._x000D_
_x000D_
The PIs mention data sets on which they will test their algorithms... but I wouldn't call this exactly 'application-aware foundational research'. They are going to do foundational research and see what it does on these data sets. _x000D_
The interaction and synergy is excellent. Several of the PIs have worked on interdisciplinary projects for much of their career, and have had enormous impact in these projects. _x000D_
_x000D_
There is no explicit plan for industry engagement and I do not expect that this will be a strength of this project. _x000D_
_x000D_
There is a plan to develop a novel course modeled after the one in Berkeley, but in this regard this proposal is less ambitious than others. _x000D_
_x000D_
The proposal focuses on some of the key questions such as privacy, fairness, and even reliability of the data. _x000D_
_x000D_
_x000D_
_x000D_
In the context of the five review elements, please _x000D_
evaluate the strengths and weaknesses of the proposal with respect to broader impacts._x000D_
_x000D_
The title of the proposal includes the phrase 'social good' The broader impacts stemming from the proposed work could have been better highlighted from this point of view.  One of the KPs collaborates with Biobank, a medical database and more generally the PIs say that their algorithms will be available to people working with large data sets._x000D_
_x000D_
There are generic plans for diversity, etc. Some of the PIs have a good track record of mentoring women's groups._x000D_
_x000D_
Please evaluate the strengths and _x000D_
weaknesses of the proposal with respect to any additional solicitation-specific review criteria, if _x000D_
applicable_x000D_
_x000D_
Given the work going on in several places on these problems, a lot of researchers would coalesce around a Phase II Center on this topic. Plans to build up to Phase II are less explicit than in some other proposals... and a Phase II Center if set up at Cornell would have less 'structural solidity and rigidity' than it would in other places. But it would probably work very well still. The absence of a solid structure can sometimes be detrimental to diversity goals._x000D_
_x000D_
Summary Statement_x000D_
_x000D_
Excellent PIs with an enviable track-record of interdisciplinary work. The problems proposed are coherent and compelling._x000D_
_x000D_
</t>
  </si>
  <si>
    <t>The PI's propose to create a Center of Data Science for Social Good on the Cornell campus that combines expertise from computer science, information science, mathematics, operations research, and statistics. Our mission is to develop a theoretical foundation to enable applications that can benefit society as a whole, and that can integrate the perspectives of the areas our project brings together. Five concrete research directions are proposed:_x000D_
- Privacy and Fairness. As data science becomes pervasive across many areas of society, and as it is increasingly used to aid decision-making in sensitive domains, it becomes crucial to protect individuals by guaranteeing privacy and fairness. We propose to research the theoretical foundations to provide such guarantees and to surface inherent limitations._x000D_
- Learning on social graphs. Many of the fundamental questions in applying data science to benefit individuals involve the social networks that underpin our connections to each other. The PI's will develop new techniques for understanding both the structure of these networks and the processes that take place within them._x000D_
- Learning to intervene. Data-driven approaches to learning good interventions (including policies, recommendations, and treatments) inspire challenging questions about the foundations_x000D_
of sequential experimental design, counterfactual reasoning, and causal inference._x000D_
- Uncertainty Quantification about specific predictions or conclusions represents a key need in data science, especially when applied to decision-making with potential consequences to human subjects. The PI's will develop statistical tools and theoretical guarantees to assess the uncertainties of predictions made by popular algorithms in data science._x000D_
- Deep Learning algorithms have made impressive advancements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Advances in our theoretical understanding of these phenomena requires combined efforts from optimization, statistics, and mathematics but could lead to insights for all aspects of data science.The PI's will investigate foundational aspects of data science at the intersection of multiple disciplines. Consequently, the intellectual merit spans all disciplines involved and findings may translate to new algorithms and approaches in each one of them. The PI's hope that the center will serve as an incubator and cross-pollinator for research at this intersection, and help increase the capacity of data science toward social impact and social good.If successful, the research findings will provide an urgently needed foundation for data science for social good. The aim is to enable applications of data science that can provide guarantees of privacy and fairness, protect the interests of marginalized groups, and broaden the range of disciplines and perspectives that can provide contributions to these challenging issues. The PI's plan to incorporate the community beyond Cornell through online seminars, workshops, and student conferences._x000D_
_x000D_
Keywords: Causal Inference; Counterfactual Inference; Deep Learning; Differential Privacy; Learning to Intervene; Optimization; Social Graphs; Uncertainty Quantification</t>
  </si>
  <si>
    <t>1740825</t>
  </si>
  <si>
    <t>Fernandez Granda</t>
  </si>
  <si>
    <t xml:space="preserve"> Panel Summary       
  Description: _x000D_
This proposal would create a Tripods institute at the Center for Data Science (CDS) at NYU. Activities would include the teaching of courses on mathematical, statistical and computational aspects of data science, a weekly seminar, a monthly panel, and a consulting service to channel interactions between data science students and applied scientists in need of data-analysis expertise. Doctoral and postdoctoral researchers and students will be trained. Curricular efforts will be part of the existing Masters in Data Science program at CDS. Phase II would primarily amount to scaling up the number of Ph.D. students and postdoctoral researchers, along with the organization of long-term visits of scientists from other institutions and one-day courses._x000D_
_x000D_
Intellectual Merit: _x000D_
Strengths _x000D_
+ The proposed research is solid and uses sophisticated ideas from mathematics, including notions of algebraic invariance, tensors, and the analytic exploration of level sets in optimization._x000D_
+ While the PIs are relatively junior, they have excellent track records and the proposal exudes enthusiasm. _x000D_
+ The PIs are qualified to direct and participate in the research program and to develop the educational aspects. _x000D_
Weaknesses _x000D_
- The research topics are more applied than foundational. Also, they cross disciplines primarily to borrow tools, rather than to create bridges. As a result, the proposed research is not quite "potentially transformative." The part of the proposal that truly feels foundational is the work on 'Understanding High-dimensional Nonconvex Optimization Landscapes' by PIs Bandeira and Bruna. Both the proposal to continue the work along the lines of [47] and the work based on random matrix theory is exciting. Unfortunately, it is a relatively small part of the proposal. _x000D_
- The statistics component was much weaker (nearly absent) than the math and theoretical CS components. This primarily read as an applied mathematics proposal._x000D_
_x000D_
Broader Impact: _x000D_
Strengths _x000D_
+ The graduate student consulting service would amplify the PIs efforts. _x000D_
+ NYU is in an excellent position to run the panel program._x000D_
Weaknesses _x000D_
- The proposed institute activities are not particularly novel, except for the consulting service._x000D_
_x000D_
TRIPODS-specific criteria: _x000D_
Strengths _x000D_
+ The expertise of the PIs is complementary and well-suited to the research and training programs developed in this project._x000D_
Weaknesses _x000D_
- The Phase II expansion is rather weak and amounts mostly to scaling up. It also appears largely subsumed by what already exists at NYU._x000D_
- Given the existence of the CDS, it is not clear why it is necessary to fund research in these relatively applied problems in a Tripods proposal._x000D_
_x000D_
Postdoctoral Mentoring Plan:_x000D_
Excellent, especially the part about partnering with the New York Academy of Sciences._x000D_
_x000D_
Collaboration and Evaluation Plan: _x000D_
The collaboration and evaluation plan is adequate, but could be more quantitative._x000D_
_x000D_
Data Management Plan: _x000D_
Good, both for software and for data._x000D_
_x000D_
Suggestions to PI: _x000D_
Strengthen the statistical part of the proposal and aim at more fundamental, i.e., less applied, problems._x000D_
_x000D_
Justification for Panel Rating: _x000D_
The science in the proposal and the PIs capacity to execute on it is viewed very favorably. On the other hand, the proposed research is not viewed as aimed at building the foundations of data science. Given the existence of a center (CDS) at NYU, an investment in such an effort via Tripods is harder to justify._x000D_
_x000D_
Panel Rating: _x000D_
_ Highly Recommended _x000D_
X Recommended _x000D_
_ Not Recommended _x000D_
_x000D_
The summary was read by/to the panel and the panel concurred that the summary accurately reflects the panel discussion.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</si>
  <si>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Building the Foundations of Data Science_x000D_
_x000D_
L: 1740825 Fernandez Granda, Carlos New York University $ 1,473,414_x000D_
_x000D_
_x000D_
P172027 R TRIPODS Panel 1, Recommended (E/V,V/G,G)_x000D_
Std competition rank 7 of 30 rated projects: 2 HR, 8 R, 11 NR, 9 NDP, on 5/17/2017_x000D_
_x000D_
_x000D_
PROJECT OVERVIEW_x000D_
This proposal would create a Tripods institute at the Center for Data Science (CDS) at NYU. Activities would include_x000B_the teaching of courses on mathematical, statistical and computational aspects of data science, a weekly seminar,_x000B_a monthly panel, and a consulting service to channel interactions between data science students and applied_x000B_scientists in need of data-analysis expertise. Doctoral and postdoctoral researchers and students will be trained._x000B_Curricular efforts will be part of the existing Masters in Data Science program at CDS. Phase II would primarily_x000B_amount to scaling up the number of Ph.D. students and postdoctoral researchers, along with the organization of_x000B_long-term visits of scientists from other institutions and one-day courses._x000B__x000D_
_x000D_
INTELLECTUAL MERIT The PI team is relatively junior, but well qualified.  They propose sophisticated mathematical research relevant to data science, esp. deep learning and optimization. Would train grads &amp; postdocs.  Although a research-heavy proposal, it has some novelty in institute-building, including consulting.  The statistics leg of the tripod was lacking: Quoting the summary, "This primarily read as an applied mathematics proposal."  Also, the research topics, "cross disciplines primarily to borrow tools, rather than to create bridges. As a result, the proposed research is not quite 'potentially transformative.'"_x000D_
_x000D_
_x000D_
BROADER IMPACTS NYU is well placed for broader impact. Consulting center for students was seen as novel; other educational and outreach efforts were seen as more pedestrian. Since there is a Center for Data Science at NYU, the panel questioned the benefit of a Tripods Center that didn't have a clear theory focus. _x000D_
_x000D_
REVIEW SUMMARY Reviewers agreed that the proposal had excellent science - the E/V reviewer said, "The research topics are the most convincing I've read that connect all three of the domain areas. "But the majority of the panel saw this as a proposal that was trying to bring machine learning to an application, rather than building the theoretical foundations of data science, thus the V/G and G reviews.  (Even by the G reviewer, some of the non-convex optimization was seen as foundational.)_x000D_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_x000C_On behalf of the TRIPODS team: _x000B_Nandini Kannan, Tracy Kimbrel, Chris Stark, and Jack Snoeyink</t>
  </si>
  <si>
    <t xml:space="preserve">In the context of the five review elements, please _x000D_
evaluate the strengths and weaknesses of the proposal with respect to intellectual merit._x000D_
_x000D_
The PIs propose concrete research on a variety of Machine Learning tasks. As they say 'The proposed research program focuses on developing and analyzing tools for a variety of data-processing tasks.'_x000D_
_x000D_
The quality of the problems selected, along with the machinery the PIs plan to bring to bear on them, is perhaps the most positive aspect of the proposal. On the other hand, these problems do not represent foundational work on data science and there is not much in the way of synthesis. Specifically, the problems considered are quite applied and relatively high in the intellectual stack, e.g., 3D image modeling. The one part of the proposal that feels foundational is the work on 'Understanding High-dimensional Nonconvex Optimization Landscapes' by PIs Bandeira and Bruna. Both their proposal to continue the work along the lines of [47] and the work based on random matrix theory is exciting. But this truly foundational work is, unfortunately, a relatively small part of the proposal._x000D_
_x000D_
In the context of the five review elements, please _x000D_
evaluate the strengths and weaknesses of the proposal with respect to broader impacts._x000D_
_x000D_
The proposal does a very good job at defining and anticipating broader impacts. The curriculum development work proposed is non-trivial and the Math and Data Seminar lists a fantastic group of speakers for this year. Also, the research proposed would have obvious and immediate real-world impact._x000D_
_x000D_
Please evaluate the strengths and _x000D_
weaknesses of the proposal with respect to any additional solicitation-specific review criteria, if _x000D_
applicable_x000D_
_x000D_
Given the existence of CDS, the proposal does not make a compelling case for funding this line of work, within CDS, under a separate Tripods project. In particular, the Phase 2 plan is unclear. How would it relate to CDS?_x000D_
_x000D_
Summary Statement_x000D_
_x000D_
The proposal does a very good job of following 'the letter' of the call, e.g., all mentoring and evaluation plans are great. The main problem is that the actual research proposed is too applied to be true to 'the spirit' of the proposal, i.e., to be work on theoretical foundations of Data Science._x000D_
_x000D_
I believe that the proposed work should be resubmitted under a different call._x000D_
_x000D_
</t>
  </si>
  <si>
    <t xml:space="preserve">In the context of the five review elements, please _x000D_
evaluate the strengths and weaknesses of the proposal with respect to intellectual merit._x000D_
_x000D_
-in the intellectual merit section in page 1, we are waiting to see what ties all these topics together_x000D_
_x000D_
+ deep architectures for learning nonlinear features from projected lower dimensional data are of interest._x000D_
_x000D_
+ Deconvolution and multi-reference alignment is a superbly described and thought out topic the idea of using slightly higher moment that are invariant to unknown shifts is a great one._x000D_
_x000D_
- it seems a pity that there is no thought about how a couple direction 2.1 and 2.2 as they both have deconvolution in it_x000D_
_x000D_
+ the idea of using deep learning for inverse computer graphics is nothing short of brilliant. It is an inspiring topic that truly combines applied mathematics, statistics, and computer science. The multiscale architecture proposed is quite convincing and the construction and validation ID as very credible._x000D_
_x000D_
+ The application of manifold denoising to free breathing cardiac magnetic resonance imaging is truly inspiring the need is palpable._x000D_
_x000D_
- We see the aim of direction 2.4 and we find it inspiring, but the technical details are lacking._x000D_
_x000D_
+ The authors rightly focus on verification of visualization methods as an important and currently overlooked problem._x000D_
_x000D_
- at this very important issue we are lacking a discussion about what metrics of accuracy will be used or what is the process by which they would be derived. Visually, image 4 is convincing, but how will that error be defined for example to generate the graph in panel a? In my experience the process of specifying that so that it represents what the user intends is protracted so it would need additional discussion._x000D_
_x000D_
- Topic 2.6, understanding high dimensional noncomplex optimization landscapes is commendable and the issues outlined are real but we have no idea from the description how they will actually be addressed. The solution seems to be, when successful, that there would be some addition of constraints to the problem that will avoid multiple minima, whereas that is not quite what understanding the surface would be in my opinion. Model parameterization relationship to the "energy barrier" is a great start but it's the only specific constructive thought in this apparently major thrust._x000D_
_x000D_
_x000D_
In the context of the five review elements, please _x000D_
evaluate the strengths and weaknesses of the proposal with respect to broader impacts._x000D_
_x000D_
+ the success of the institution that their masters of data science is notable (though we would've liked to see distribution of underrepresented groups)_x000D_
_x000D_
+ the graduate student data science consulting service is a great tool both in terms of broader impact as well as the solicitation specific criteria_x000D_
_x000D_
+ the choice of the application context is terrific from the perspective of having a good chance of broader impact; section 2.3, 2.4 and 2.5 are all excellent examples of that_x000D_
_x000D_
+ the educational plans are adequate in addition to the highlights presented above_x000D_
_x000D_
- the broader impact statement is generic and we miss the discussion about underrepresented group efforts_x000D_
_x000D_
_x000D_
Please evaluate the strengths and _x000D_
weaknesses of the proposal with respect to any additional solicitation-specific review criteria, if _x000D_
applicable_x000D_
_x000D_
+ the proposed work will occur in the middle of an institution that is famous for its ability to carry out transdisciplinary research, and the proposal makes the case that it will nurture itself from that culture_x000D_
_x000D_
+ "TRIPOD" doctoral fellowship and it's set up combined with the applied project requirements for the postdoctoral fellowships are well thought out structural settings of the project._x000D_
_x000D_
+ The proposal presents credible elements of all the three sciences that are the target of this program and in a truly integrated fashion; our favorite is section 2.3_x000D_
_x000D_
+ the collaboration and evaluation plan is very credible, the table on page 5 of the appendix plan is particularly useful._x000D_
_x000D_
- I find it important as a suggestion to the investigators if the program gets funded that the evaluation should have a couple colleagues that are not members of the proposal  rather than relying entirely on the investigators_x000D_
_x000D_
+- for a proposal with such a major organizational component there are a lot of junior personnel, three out of the four principal investigators are assistant professors within four years after PhD (and in particular, the lead is one of them). I see this as both an asset and a liability, the enthusiasm and quality are palpable , and there is a major potential that if funded they will give this work a lot of attention. On the other hand, there is the experience issue and the simple question whether people this junior should do this much management. I'm also a bit surprised at the low level of summer commitment I wonder if the investigators have thought about the time the various organizational issues here will take e.g. seminars mentorship etc. My advice is to get at least a part-time professional admin assistant budgeted or involved somehow but with time targeted to this proposal, and perhaps involving one more faculty of the professor level. _x000D_
_x000D_
_x000D_
Summary Statement_x000D_
_x000D_
The Proposal Has a very inspiring research program, a credible organizational structure and plan and will take place in the middle of an institution that has a well-known culture of transdisciplinary research to which the proposal makes a clear case of feeding itself from. The research topics are the most convincing I've read that connect all three of the domain areas. I am a bit concerned, as well as inspired, by the relative junior status most of the PIs and I am mostly concerned about their low level of summer support for a project of this complexity. My advice is to get at least a part-time professional admin assistant budgeted or involved somehow but with time targeted to this proposal, and perhaps involving one more faculty of the professor level. _x000D_
_x000D_
_x000D_
</t>
  </si>
  <si>
    <t xml:space="preserve">In the context of the five review elements, please _x000D_
evaluate the strengths and weaknesses of the proposal with respect to intellectual merit._x000D_
_x000D_
The PIs propose to establish a TRIPODS Institute at the Center for DS at NYU (one of the PIs is the interim director of the institute; they are all members of Courant Institute, as well as the DS Center), as mathematicians/applied mathematicians/CS. The institute would have both a practical and theoretical focus with techniques being developed with an eye on applications and real data, and analyses performed using mathematical tools. In terms of domain specific problems, they are interested in problems in medical imaging, neuroscience, visualization and computer vision. The expertise needed involves probability theory, high-dimensional statistics, optimization, theoretical computer science and applied mathematics._x000D_
_x000D_
The research thrusts will involve learning from and analyzing high dimensional data, geometric neural nets, extracting manifold structure, verification of visualization methods, high dimensional nonconvex optimization. The theoretical work will be applied to real datasets from medical imaging, urban computing, neuroscience, and visualization._x000D_
_x000D_
The institute will be complementary to the new DS programs at NYU, in particular, the DS PhD program. With regular seminars and panel discussions, they hope to foster collaboration with the three expertise areas at NYU. The project will involve, in addition to the senior personnel, the hiring of two postdocs and two graduate students._x000D_
_x000D_
The proposal lays out research areas/problems clearly, and gives the structure and the rationale for the collaboration on those problems. It can be expected that the group will produce results on these problems, which can hopefully have implications on real data. The center activities are not particularly novel, except for one -- they plan to provide consulting to researchers in applied areas about handling and analyzing their data, in turn learning the domain specific concerns and restrictions. This is a good effort for bridging theory with practice, and is likely to prove useful for their research (and development, if any) activities. The synergy between the groups as well as other, more applied participants, is thus improved. Curricular development and the engagement of both theoretical and more applied researchers from various disciplines will hopefully unify the various approaches into one streamlined DS direction from an educational point of view. _x000D_
_x000D_
_x000D_
In the context of the five review elements, please _x000D_
evaluate the strengths and weaknesses of the proposal with respect to broader impacts._x000D_
_x000D_
The broader impacts involve the research community and the student body, from an education and research point of view. The panels and the seminars will help educate the research community in data driven research. This proposal does not aim to set up a visiting researchers program, a conference, or a set of workshops. This might be because a number of these exist under the existing structure (see below for more on this)._x000D_
_x000D_
That said, I am not entirely clear why they need this institute for this: they have a DS institute (whose acting director is a PI here), and, of course Courant. So there is a theoretical CS/math/statistics component there, as well as a DS one. The need for yet a third one in the intersection of these two is not sufficiently argued IMO, especially from a broader impact (as well as logistical) point of view._x000D_
_x000D_
Please evaluate the strengths and _x000D_
weaknesses of the proposal with respect to any additional solicitation-specific review criteria, if _x000D_
applicable_x000D_
_x000D_
The proposal has a well integrated and well thought out research and training program (some of which they inherit from existing programs). The three communities would benefit from those (see above re. comments about those communities already interacting at NYU). The need for collaboration as well as the roles of each participant in the collaboration is made sufficiently clear, and the research/training would certainly benefit from the synergy, especially in bringing domain knowledge/problems and theoretical foundations together._x000D_
_x000D_
There is a plan for evaluating success of the program, which is not totally concrete, but makes sense. Moving to Phase II is not clearly argued-- as I mentioned above, the need for this particular center is already not entirely justified IMO, and given that Phase II is a much bigger operation, is it really necessary? At some point, will they be facing diminishing returns?_x000D_
_x000D_
Summary Statement_x000D_
_x000D_
This is a nice proposal, but the need for a center of this type needs to be clarified further._x000D_
_x000D_
</t>
  </si>
  <si>
    <t>The proposed TRIPODS Institute at the Center for Data Science in New York University has the mission of advancing multidisciplinary data-science research with a focus on the development of practical data-processing tools and their theoretical analysis. The research program of the institute is inspired by concrete problems in medical imaging (image reconstruction from magnetic-resonance data), neuroscience (spike sorting from extracellular electrode data), visualization (verification of correctness) and computer vision (3D image modeling and blind deconvolution). On the one hand, it aims to push the frontiers of current methods applied to these problems by using modern computational tools such as deep neural networks, manifold learning and low-rank tensor decompositions. On the other hand, an important focus is to study these techniques theoretically in order to characterize their performance and understand their potential and possible limitations. _x000D_
To achieve these objectives, it will be crucial to train data scientists with both solid theoretical backgrounds and actual experience with real data, as well as to collaborate closely with domain scientists with expert knowledge of the relevant applications. The Center for Data Science, which offers a successful Masters in Data Science and has recently launched a data-science doctorate program, is an ideal setting for this endeavor. The faculty affiliated with the TRIPODS Institute will offer courses on mathematical, statistical and computational aspects of data science and organize reading groups to discuss more advanced material. Multidisciplinary interactions will be promoted by a monthly panel, where researchers from different communities will dis- cuss their points of view on central topics in data science. A weekly seminar will bring the NYU data-science community together and expose them to cutting-edge research advances. A data-science consulting service will be created to channel interactions between data-science stu- dents and applied scientists in need of data-analysis expertise. Finally, postdoctoral researchers and doctoral students involved in the research activities of the institute will acquire hands-on experience with real data related to their theoretical interests.The proposed research program will develop novel methods for several data-processing tasks. We will adapt deep models to tackle inverse problems in medical imaging and computer vision, as well as to perform 3D image modeling of urban landscapes. For this we will design novel neural-network architectures beyond those typically used for classification. Special emphasis will be placed on analyzing the behavior of these models theoretically, which will require understanding high-dimensional non-convex optimization landscapes. In addition, we will develop algorithms for blind deconvolution based on algebraic invariances, as well as mathematically-sound techniques to formally verify visualization software. In order to design these methods and characterize their performance, we will draw from a variety of tools in probability theory, high-dimensional statistics, optimization, theoretical computer science and applied mathematics.The proposed institute will contribute to train a new generation of data scientists at the Center for Data Science. The affiliated faculty will be active in curriculum design and development, as well as in training graduate students and postdocs. The institute will foster interactions between computer scientists, mathematicians, statisticians and domain scientists at NYU through the organization of seminars and panel discussions, and the creation of a data-science consulting service for applied scientists. All the research and training materials produced by the institute will be made publicly available.</t>
  </si>
  <si>
    <t>1740828</t>
  </si>
  <si>
    <t>McGregor</t>
  </si>
  <si>
    <t xml:space="preserve"> Panel Summary       
  Description:_x000D_
The proposal is to both 1) explore the different sampling, computational, space and modeling tradeoffs within various stages of the data science pipeline, and 2) host data science workshops, distinguished lecture series, develop teaching modules and new courses, train post docs and undergraduate students (in collaboration with 5 regional liberal arts colleges)._x000D_
_x000D_
Intellectual Merit:_x000D_
Strengths_x000D_
+ The research questions are reasonably important and interesting._x000D_
+ The proposal suggests good potential for synergy between the three fields._x000D_
_x000D_
Weaknesses_x000D_
-  The proposed research is incremental and is continuation of the PIs previous work. _x000D_
_x000D_
Broader Impact:_x000D_
Strengths_x000D_
+ The distinguished lecture series and workshops will help create an interdisciplinary data science community_x000D_
+ The Open Problem wiki is an interesting idea._x000D_
Weaknesses_x000D_
- The training and work force development plan is somewhat vague and does not describe a proactive agenda._x000D_
- The creation of new tracks in existing programs is left to Phase II._x000D_
_x000D_
_x000D_
TRIPODS-specific criteria:_x000D_
Strengths_x000D_
+ Potential for good synergy between the three fields._x000D_
+ Having 2 to 3 post docs per year creates a strong core of research activity._x000D_
Weaknesses_x000D_
- Lack of connection to specific domain scientists or industry._x000D_
- There was no explicit management plan or mechanism to adapt during Phase I_x000D_
_x000D_
Collaboration and Evaluation Plan:_x000D_
The collaboration plan is adequate, but brief. It would have been stronger if it articulated a more explicit mechanism for ensuring synergy._x000D_
The evaluation plan is somewhat typical. However, it did not state what outcomes would constitute success, only the metrics._x000D_
_x000D_
_x000D_
Data Management Plan:_x000D_
The data management plan is boilerplate, but adequate._x000D_
_x000D_
Post-doctoral Mentoring Plan:_x000D_
The mentoring plan is adequate. It would be better to make more explicit how they will be trained in the three different disciplines and interdisciplinary research._x000D_
Also, while co-supervision is mentioned, it would be valuable to ensure the two PIs from at least two of the different fields would be formal supervisors._x000D_
_x000D_
_x000D_
Suggestions to PI:_x000D_
The institute's educational and outreach activities could be more ambitious and involved. New programs and tracks rather than modules and courses would be more transformational, rather than leaving these potentially to Phase II._x000D_
_x000D_
Justification for Panel Rating:_x000D_
The proposal is solid but did not take risks or excel in novelty or rapid transformation in either the research or institute activities components._x000D_
_x000D_
Panel Rating:_x000D_
_ Highly Recommended_x000D_
_ Recommended_x000D_
X Not Recommended_x000D_
_x000D_
The summary was read by/to the panel and the panel concurred that the summary accurately reflects the panel discussion._x000D_
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</si>
  <si>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Fundamental Trade-offs Throughout the Data Science Lifecycle_x000D_
_x000D_
L: 1740828 McGregor, Andrew U of Massachusetts Amherst $ 1,499,733_x000D_
_x000D_
_x000D_
P172027 NR TRIPODS Panel 1, Not Recommended (V/G,G,F)_x000D_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</si>
  <si>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proposal centers around four aspects in the current machine learning pipeline, mainly in statistical learning. These four aspects are: (i) data acquisition, (ii) space complexity, (iii) time complexity, and (iv) model complexity. In (i), the PIs argue that the sampling step itself should be tied to the inference stage through an interactive feedback loop. Can this interactive feedback actually reduce sample complexity in various settings including supervised and unsupervised learning? In (ii), the PI points out that the large amount of data can be a problem for the learning pipeline. So, one can leverage on streaming models and techniques that have been developed in computer science to tackle the memory issues. In (iii), the proposal mainly focuses on the trade-offs between the model accuracy and computational time. For this the PIs propose to investigate the technique of relaxing the usual inference with a variational one, combining it with Monte Carlo methods and early stopping. In (iv), the PIs suggest trading off model complexity with bias and computational resources._x000D_
_x000D_
The four goals listed and elaborated in the proposal are good and worthy of investigations. The PIs are well qualified to conduct the research and have done considerable work in the listed line of directions. The proposal mostly focuses on statistical techniques for machine learning. In (ii), connection to streaming and online models establishes the component for theory of computing. It would have been a stronger proposal if more connections to theory of computing were established in other aspects. _x000D_
_x000D_
The proposal as a whole is quite good. The weakness of the proposal is that it is somewhat incremental in nature. The problems described are quite generic and the suggested approaches do not depart significantly from the current approaches. Also, it is weak in terms of existing collaborations among the PIs. There is hardly any cohesive activity where the PIs have already participated together. These are the reasons why I could not give the proposal higher rating._x000D_
_x000D_
In the context of the five review elements, please _x000D_
evaluate the strengths and weaknesses of the proposal with respect to broader impacts._x000D_
_x000D_
The proposal mentions that the broader impact is in primarily two areas:_x000D_
(i) Improving the pipeline for data analysis as detailed in the research plan would enhance the current state-of-the-art of data science in general,_x000D_
(ii) The activities of the proposed institute in terms of education, training, workshop and lecture series organizations benefit the society by creating a workforce for data science. Special mention is made for promoting the under-represented groups. In this regard the proximity of two well known liberal arts college will be taken advantage of._x000D_
_x000D_
Please evaluate the strengths and _x000D_
weaknesses of the proposal with respect to any additional solicitation-specific review criteria, if _x000D_
applicable_x000D_
_x000D_
The proposal satisfies the solicitation-specific criteria by proposing (i) development of the workforce with undergraduate REU training, post-doctoral and graduate student support _x000D_
(ii) development of the curriculum with enriching the existing courses by inserting topics in data-science and creating new courses, collaborating with five other colleges in the area _x000D_
(iii) servicing the community with workshops, distinguished lecture series, and developing a Wiki-based resource for problems in data science,_x000D_
(iv) a plan for mentoring post-doctoral fellows,_x000D_
(v) preparation for phase II is mentioned. It is essentially by scaling up the mentioned activities for phase I_x000D_
(vi) the collaboration among the PIs and their roles have been detailed. Metrics to measure the success of the program through surveys, attendance in the curriculum have been mentioned._x000D_
_x000D_
These are all standard goals of a project that aspires to be a small-scale center. Perhaps some existing efforts along these directions where the PIs participated together would have made the case stronger._x000D_
_x000D_
_x000D_
_x000D_
Summary Statement_x000D_
_x000D_
This is a well written proposal. The rating could have been higher if the proposed activities were a little more broader rather than expanding mostly on current work of the PIs incrementally. Also, evidence of past collaboration on technical grounds would have made a stronger case._x000D_
_x000D_
</t>
  </si>
  <si>
    <t xml:space="preserve">In the context of the five review elements, please _x000D_
evaluate the strengths and weaknesses of the proposal with respect to intellectual merit._x000D_
_x000D_
The research outline in the proposal addresses several aspects of the_x000D_
data science pipeline and address trade-offs in data acquisition,_x000D_
computational cost, statistical accuracy/guarantees, computational_x000D_
models for fitting models.  The PIs list 10 research questions that_x000D_
they will pursue that have the potential to bring the expertise of_x000D_
subsets of the PIs and senior personnel together from the three different communities (Math, CS, Stat)._x000D_
The proposal includes an institute with workshops, a lecture series, outreach,_x000D_
development of new courses and modules for use in courses,  and training_x000D_
of undergraduates and postdocs._x000D_
_x000D_
The proposal's research questions is strong and has the potential to advance knowledge in the research topics outlined._x000D_
The topics are quite novel, but not unique to the PIs, i.e. are current existing research topics in the different communities._x000D_
_x000D_
The plans for the institute's activities are not particulary novel. The development of a Wiki for Open Problems_x000D_
in the foundations of Data Science is somewhat novel, but it is unclear how, or if, it will get traction._x000D_
The other activities are reasonably standard. Otherwise, the activities are somewhat pedestrian, more_x000D_
quasi-departmental than an institute such as those at, e.g., SAMSI._x000D_
_x000D_
It is clear that there is potential for PIs from the different fields to collaborate on intersecting topics_x000D_
that are outlined in the proposal. The proposal is not very explicit about how this will happen, but there_x000D_
are opportunities for each to play different roles and bring different perspectives and strengths. For the most_x000D_
part, it seems the collaboration will be in overlapping existing topics rather than combining different skills_x000D_
and roles to address new topics._x000D_
The synergy is reasonable._x000D_
_x000D_
_x000D_
The research plan is sound. There is no concrete plan for evaluation for the research, but that is acceptable in this circumstance._x000D_
_x000D_
The plans for how the institute would further the goals of the proposal are far more vague than the research topics to be addressed._x000D_
There are workshops and meetings, but not a description of a concrete mechanism for fostering the synergy and moving the research along_x000D_
collectively rather than by the individual PIs doing their own work. Evaluation of the synergies achieved between the disciplines is not addressed._x000D_
_x000D_
The PIs are undoubtedly qualified in their fields. The vision of Data Science is understandbly focused on their own fields and is somewhat narrow than ideal for_x000D_
imagining the broad potential for Data Science._x000D_
_x000D_
There is very little mention of applications in the proposal and only a vague plan to use an existing Data Science center to hopefully connect_x000D_
with industry._x000D_
_x000D_
The proposal addresses education via new courses and modules for use in existing courses. There is no explicit plan for unification of the_x000D_
curricula across the three fields._x000D_
_x000D_
The research does address interactive sampling, labeling and also streaming data and hence particular aspects of dynamic data._x000D_
_x000D_
The computing resources are adequate but not ideal for dealing with large data and computationally intensive analysis._x000D_
However, the research appears to be more theoretical in nature rather than actually doing the computation that the research_x000D_
will enable others to do._x000D_
_x000D_
_x000D_
In the context of the five review elements, please _x000D_
evaluate the strengths and weaknesses of the proposal with respect to broader impacts._x000D_
_x000D_
Workshops and national community building_x000D_
Distinguished Lectures Series_x000D_
Data Science modules to be used in existing courses_x000D_
Wiki for Open Problems in Foundations of Data Science_x000D_
REU and Postdoc training_x000D_
Development of new courses_x000D_
_x000D_
None of these, except the Wiki, are particulary novel or transformative._x000D_
_x000D_
The roles of the PIs is clear in these broader activities._x000D_
_x000D_
_x000D_
Please evaluate the strengths and _x000D_
weaknesses of the proposal with respect to any additional solicitation-specific review criteria, if _x000D_
applicable_x000D_
_x000D_
a. The research plan is strong to very strong.  The training program is vague and only covers undergraduates and Postdocs. Graduate students_x000D_
do not seem to be included (or there is no plan articulated for their activities)._x000D_
_x000D_
b. Broad themes:_x000D_
Tradeoffs at different stages in the data science pipeline - ranging from computation time, data "storage" space, interactive sampling_x000D_
Yes, these are aspects of the program description._x000D_
_x000D_
c. Workforce Development.  The proposal was (very) vague about workforce development, and also on much of the research training opportunitie_x000D_
for the undergraduates and postdocs._x000D_
_x000D_
_x000D_
d. The research agenda described does identify topics where 2 or 3 of the PIs could collaborate given their previous research areas._x000D_
This is phrased as an area of "intersection of the expertise".  However, it is not yet clear there is a synergy (i.e. result beyond the sum of the parts),_x000D_
Co-supervision of the postdocs by (hopefully) faculty from different disciplines would help to foster faculty interaction._x000D_
Overall, synergy is hard. The proposal is reasonable on this front at the research level and vague on the education and training aspect._x000D_
_x000D_
e. The proposal is strong on an array of important questions in theoretical aspects of data science. The vision is focused on elements of the existing/traditiona\_x000D_
l_x000D_
vision of Math, Statistics and Machine Learning in Computer Science.  A proposal cannot be expected to do all things._x000D_
It does not go much beyond to incorporate framing questions, stakeholders, interpreting the_x000D_
modeling results, visualization, ethics, privacy, reproducability, etc. or even hands-on high-performance computing (just the algorithms that would be used)._x000D_
Some of these are mentioned in a sentence on potential additional areas for Phase II. However it is not clear how much the PIs prioritize these areas_x000D_
or see them as foundations of Data Science. In other words, the proposal's vision for foundations of data science may be less broad than ideally some of us wou\_x000D_
ld like._x000D_
_x000D_
f. The collaboration has potential, and is generally a good thing. However, it is hard to evaluate how likely it is to foster and become a significantly differen\_x000D_
t mode of research_x000D_
for those involved._x000D_
_x000D_
g.  Very little.  There is almost no mention of domain science questions or domain researchers. There is an aspiration to leverage the  industrial_x000D_
affiliates program at the university's Center for Data Science._x000D_
_x000D_
h. The proposal indicates that they have some thoughts about Phase II._x000D_
The PIs have intersecting research areas and will provide the leadership for Phase II._x000D_
They also plan/hope to involve numerous other faculty and list 3 in CS and one in each of Math and Stat._x000D_
This again seems more aspirational than a concrete plan._x000D_
_x000D_
_x000D_
The proposal is technically very good. However, it suggests a business-as-usual approach to research_x000D_
rather than a reflection on the foundations of data science  that are similar and different in Math, CS and Statistics._x000D_
For this reason, it is clear that they will likely advance specific and detailed research topics, but unclear_x000D_
that they will step back and address and define the foundations of Data Science_x000D_
_x000D_
_x000D_
_x000D_
i. Measures of success:  The measures will be counts of the usual things - attendees at workshops, meetings, publications, citations, grant proposals, new course\_x000D_
s added, modules designed,_x000D_
students trained, new members of the insitute.   It is not clear what numbers for these measures would indicate success._x000D_
Unfortunately, there doesn't seem to be an effort to go beyond these numbers to address the quality and impact of the activities._x000D_
_x000D_
j.         assessment of all Institute activities:_x000D_
Unfortunately, there is no qualitative aspect to the assessment via surveys that go beyond suggestions._x000D_
The ongoing assessment will be done by the PIs in meetings, but there isn't mention of explicit plans or steps._x000D_
_x000D_
_x000D_
Summary Statement_x000D_
_x000D_
Ranking:   Fair, or maybe Good._x000D_
_x000D_
_x000D_
The Data Managemet Plan is boilerplate. However it doesn't appear there will be much data in the activities, but more theoretical work._x000D_
The Postdoctoral mentoring appears to also be boilerplate. It does not mention training for interdisciplinary academic/research engagement._x000D_
_x000D_
The proposal doesn't draw on successes in other institutes such as the 8 Mathematical and Statistical institutes NSF funds._x000D_
_x000D_
This lacks a connection to applied problems, a rich source of new research problems for theoreticians._x000D_
_x000D_
Address graduate students._x000D_
_x000D_
Aspirational goals are great, but a plan to achieve them is imperative. But I understand how difficult this is in_x000D_
interdisciplinary activities._x000D_
_x000D_
</t>
  </si>
  <si>
    <t xml:space="preserve">In the context of the five review elements, please _x000D_
evaluate the strengths and weaknesses of the proposal with respect to intellectual merit._x000D_
_x000D_
The proposal is a joint research grant between 5 PIs, to explore the different tradeoffs (space, running time, samples, model expressivity) that come up in different aspects of a data science pipeline. _x000D_
_x000D_
+ The PIs lists concrete research directions and questions along the four main directions, which tie in well with the PI's core research interests. For instance, data collection seem like interactive/ active learning ideas (though the connection between sample complexity of unsupervised learning, and number of rounds of data acquisition seemed tenuous). Tradeoffs involving space and sample complexity aligns very well with PI Mcgregor's expertise._x000D_
_x000D_
+ The PIs (especially PI Mcgregor and PI Krishnamurthy) have a good track-record for working on foundational algorithmic problems related to data science/ ML. _x000D_
_x000D_
- On the other hand, these directions do not seem to open new connections between areas of CS, Stats and Math.  Active learning, space tradeoffs from streaming, tradeoffs between computational and statistical aspects of inference methods are relatively common themes now in ML research. I do not find the proposal to be transformative in this regard. _x000D_
_x000D_
- The biggest negative in my opinion, is that the proposal seems more like a standard NSF large proposal, primarily funding collaborations between these 5 PIs (along with a few workshops and distinguished lectures). I do not see this developing into a vibrant center for interdisciplinary research (like the Intractability center at Princeton/ ICERM), with large outside participation. _x000D_
_x000D_
_x000D_
- The Phase 2 plans also did not indicate any ideas/ plans that will enable them to scale up to a large center._x000D_
_x000D_
In the context of the five review elements, please _x000D_
evaluate the strengths and weaknesses of the proposal with respect to broader impacts._x000D_
_x000D_
+ They are committed to training students on Data Science topics in partnership with four other colleges in the area (Smith, Mt. Holyoke etc.)._x000D_
_x000D_
+ New data science curriculum_x000D_
_x000D_
- It seems unlikely to broadly appeal to researchers outside the specific areas covered by the PIs' strengths._x000D_
_x000D_
Please evaluate the strengths and _x000D_
weaknesses of the proposal with respect to any additional solicitation-specific review criteria, if _x000D_
applicable_x000D_
_x000D_
+ The PIs all have some overlapping interests related to ML, and they have complementary expertise in TCS (Streaming algorithms), ML (Interactive learning, probabilistic models), Applied Math and Statistics (variational inference). _x000D_
_x000D_
+ They have a concrete collaboration plan, and an evaluation plan. The collaboration plan also lists specific overlap areas between the PIs. _x000D_
_x000D_
_x000D_
Summary Statement_x000D_
_x000D_
The proposal plans to explore interesting directions involving various time, space, memory tradeoffs at the overlap of interactive learning, streaming algorithms, probabilistic graphical modeling, and inference. However, the scope of the proposal seems more like a standard NSF large grant that will fund the PIs' research as opposed to a large center/ institute for transdisciplinary research._x000D_
_x000D_
</t>
  </si>
  <si>
    <t>Modern data science problems typically involve a lifecycle of experimental design, data acquisition, analysis, validation, and prediction, which then drives further data acquisition. During these stages there are many choices: deciding how much data to use and how it should be collected, allocating computational resources across the stages, determining what statistical guarantees are important, and deciding if an accurate physical model is necessary. These choices are challenging in practice because the outcome may depend on interactions between design decisions. Understanding the fundamental trade-offs throughout the data science lifecycle is imperative for the design of efficient inference pipelines. Our research goals focus on understanding: 1) Trade-offs between statistical performance and data acquisition mechanisms such as interactive data collection. 2) Trade-offs that arise in the computational models most relevant to processing large amounts of data, such as streaming and online models. 3) Trade-offs between computational and statistical aspects of inference methods such as variational methods and MCMC.  4) Trade-offs regarding model robustness and the tension between statistical bias and variance. Understanding the fundamental trade-offs in the data science lifecycle will dramatically improve undergraduate and graduate data science education by identifying fundamental design principles for data analysis. To this end, we have partnered with the four undergraduate institutions in the Pioneer Valley (Smith College, Mt Holyoke College, Hampshire College, and Amherst College) to develop a robust pedagogy around the data science lifecycle. We plan to implement educational, professional development, and collaborative research initiatives outlined in our proposal in collaboration with these institutions. Finally, we have partnered with the existing UMass Center for Data Science, which focuses on engagement with industry and practical training and thus makes a complementary partner for the proposed institution.Intellectual merits focus on mathematical investigation and rigorous development of trade-offs within the data science lifecycle. We expect to advance understanding in data science foundations in several ways: (1) by developing new techniques for the analysis of data science methods, (2) by designing new algorithms for data science, and (3) by connecting results from different communities. Together these advances will not only enable further research in data science foundations, but also empower data science practitioners.Broader impacts of this proposal take two main forms. First, our research goal is to empower data scientists so that they can make the best possible choices in designing data science pipelines. Improving the efficiency of data science pipelines, will significantly expand the scope of applications of data science and open doors for new scientific discovery. Second, many of the broader impacts will arise from institute activities, including training, new curriculum initiatives, course modules on data science foundations, workshops and community resources. In particular, we are committed to training students underrepresented in data science, and our educational and training initiatives will be developed in partnership with Smith College, Mt. Holyoke College, and the other liberal arts colleges in the Pioneer Valley.</t>
  </si>
  <si>
    <t>1740829</t>
  </si>
  <si>
    <t>Lahiri</t>
  </si>
  <si>
    <t xml:space="preserve"> Panel Summary       
 Description:  _x000D_
_x000D_
This proposal aims to create a TRIPODS institute at University of Maryland College Park. The main research focus is on the development of data integration  (record linkage) tools for heterogeneous datasets through a multilayered graph data structure so that new predictive and descriptive models can be developed for inference and learning in multilayered structures. The proposal has an educational component that trains both undergraduate and graduate students, especially women and underrepresented populations, as well as high school students through outreach activities. The proposed institute supports center-like activities in the forms of team-building (through recruiting), reading programs, week-long summer schools, monthly seminars and workshops._x000D_
_x000D_
_x000D_
Intellectual Merit:  _x000D_
_x000D_
Strengths_x000D_
_x000D_
+  Record linkage is an interesting topic in data science. The proposed research could be transformative for the special types of projects targeted by this proposal._x000D_
_x000D_
+  The proposal has identified challenges on dealing with heterogeneous datasets for each of the three TRIPODS disciplines._x000D_
  _x000D_
Weaknesses_x000D_
_x000D_
-  Although record linkage is an important data science topic, itself alone may not be viewed as foundational. Thus, the proposal is not very appropriate for TRIPODS._x000D_
_x000D_
- The research for theoretical computer science seems to be less foundational comparing to the two other disciplines._x000D_
 _x000D_
_x000D_
Broader Impact: _x000D_
_x000D_
Strengths_x000D_
_x000D_
+  The proposed data integration (record linkage) tools could enable formulation and analysis of complex and challenging questions of scientific interest and societal importance._x000D_
_x000D_
+  The educational component is quite extensive._x000D_
  _x000D_
Weaknesses _x000D_
- The broader impacts focus on education and workforce training, which are mainly internal. The external impact is relatively weak. _x000D_
_x000D_
_x000D_
TRIPODS-specific criteria: _x000D_
_x000D_
Strengths_x000D_
_x000D_
+ The proposal has an integrated research and training program. _x000D_
_x000D_
+ The proposal has a good plan for workforce development._x000D_
_x000D_
Weaknesses_x000D_
_x000D_
- The proposed research is relatively narrow and not convincingly foundational. _x000D_
_x000D_
- There is insufficient description on how to tightly integrate the three TRIPODS disciplines. _x000D_
_x000D_
Collaboration and Evaluation Plan:  _x000D_
_x000D_
The evaluation and collaboration plan are clear, thorough, and well thought out._x000D_
_x000D_
Data Management Plan:  _x000D_
_x000D_
Data management plan is adequate._x000D_
_x000D_
Suggestions to PI:  The proposal has potential value and might be appropriate for submission to Methodology, Measurement and Statistics (MMS) or DMS Statistics solicitations._x000D_
_x000D_
Justification for Panel Rating: The research topic is relatively narrow and not convincingly foundational._x000D_
_x000D_
Panel Rating:  _x000D_
_ Highly Recommended_x000D_
_ Recommended_x000D_
_X Not Recommended_x000D_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</si>
  <si>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Institute for Data Integration and Linkage_x000D_
_x000D_
L: 1740829 Lahiri, P. U of MD College Park $ 1,499,984_x000D_
_x000D_
_x000D_
P172027 NR TRIPODS Panel 1, Not Recommended (V,G,G)_x000D_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</si>
  <si>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is a proposal on establishing a Data Integration and Linkage Center with a focus on linking and analyzing multiple datasets describing the same entity (or a set of related entities). The goal is to come up with models, learning and prediction techniques that will discover and display the relationships between the datasets and link them in a consistent manner so they can be used as a whole in understanding and predicting the structure of the underlying complex mechanism. This has obviously been tackled in many different ways and domains (it is one of the first simple problems that undergrads look at in databases), but the PIs want to look at new/improved techniques that will work in certain example domains that they name, most prominently, transportation. Proposed techniques involve statistical models, machine learning algorithms, small area estimation, etc. _x000D_
_x000D_
The group intends to have five graduate students (and three undergraduates), a citation program with short courses, workshops, seminars and webinars, informal seminars, a student mentorship program between grads and undergrads, mentoring and outreach activities, etc._x000D_
_x000D_
This proposal is written in clear detail in terms of logistic and non-technical details. The research component is written in a fairly general way (seems to be for a broad audience) which is easier to read but I'm not sure about the depth. While the techniques looked spread out with not strong bonds connecting them, the roles of individual disciplines are well defined, and the problems would benefit from having approaches from different areas of expertise. _x000D_
_x000D_
It is made abundantly clear that the theoretical problems discussed would benefit from collaboration among the three different disciplines, and what their roles are. The example on traffic ties it to a real world problem (will they have access to many real world datasets? it would be beneficial for this kind of work). Curriculum development, synergy among participants, a common language and goal are all discussed clearly and convincingly. The research will be tailored towards domain specific data, and be application aware. That said, industry implications are not immediately clear. It is commendable in this proposal that it addresses a property of big data that it consists of modules that are not immediately and clearly linked; at least from a CS perspective it is important to take the characteristics of the data into consideration._x000D_
_x000D_
In the context of the five review elements, please _x000D_
evaluate the strengths and weaknesses of the proposal with respect to broader impacts._x000D_
_x000D_
It is not unreasonable to expect that this work one day might have real life impact. At the very least, it seems to be sensitive to real world data. _x000D_
_x000D_
This proposal has an extensive and clear outreach program that involves people other than the immediate research personnel and students. The outreach includes women and other underrepresented minorities (including explicit plans with Historically Black Colleges), grade school students, non-students, etc, with concrete plans._x000D_
_x000D_
Please evaluate the strengths and _x000D_
weaknesses of the proposal with respect to any additional solicitation-specific review criteria, if _x000D_
applicable_x000D_
_x000D_
The proposal is smoothly and professionally written, explaining the rationale and structure behind the collaborations. There is a convincing argument that the work will bring outcomes that will be the result of the collaboration of the different disciplines. There is a vision, which should provide a direction during Phase I._x000D_
_x000D_
The measures for the success of the program are well defined, and there is a detailed assessment plan._x000D_
_x000D_
One thing that is not entirely clear is how they will segue to Phase II. One might think and hope that the scope will broaden a bit, depending on result from Phase I, but I did not see that. It would have been nice to see this work that is proposed as the start of something bigger, along with a rudimentary outline of how it would scale up along with everything else in the proposal._x000D_
_x000D_
Summary Statement_x000D_
_x000D_
The proposal is very carefully and professionally written, and it wins a lot of points for coherency and preciseness. Perhaps a bit more depth and a longer term vision would have made it stronger._x000D_
_x000D_
</t>
  </si>
  <si>
    <t xml:space="preserve">In the context of the five review elements, please _x000D_
evaluate the strengths and weaknesses of the proposal with respect to intellectual merit._x000D_
_x000D_
The proposal focuses on linking records across different data sets with different types of observational units in the data sets. The_x000D_
research aspect of the proposal outlines a structured graph connecting the observational units with edges carrying measures of connections_x000D_
between the different observational units.  Record linking arises in many data science problems (not all) and there are various approaches_x000D_
to the problem ranging from problem-specific to some general techniques. This attempts to study a formal way to connect the records._x000D_
_x000D_
The activities also include monthly seminars, involving postdocs, graduate and undergaduate students in research, a week-long_x000D_
summer school for graduate and undergraduate students, and further activitities for graduate and undergrauates in research and reading groups._x000D_
_x000D_
Record linkage is very important in data science. However, some may not consider it "foundational" as called for by the TRIPODS solicitation, or merely one_x000D_
of many foundational issues. Unfortunately, there aren't (m)any other foundational research areas proposed. So this proposal may not be appropriate for TRIPODS_x000D_
and may be more appropriate for a submission to a regular DMS solicitation._x000D_
_x000D_
The proposal focuses on one specific research project (with sub-questions) and does identify questions for each of the three disciplines._x000D_
It is not clear that the three disciplines will necessarily work together to solve the sub-problems as the proposal divides them into questions of interest to the separate fields._x000D_
_x000D_
The activities include a good deal of involvement of graduate and undergraduate students via the PIs and other existing mechanisms at U Maryland. These are good._x000D_
The PIs aim outreach to others. It is not clear if the topic is of sufficient general interest to ensure active interest from others._x000D_
_x000D_
As mentioned, the problem brings the disciplines together, but it is not clear that they will work synergistically_x000D_
on the same sub-problems.  They may work separately and connect the results. This would miss out on the different perspectives._x000D_
_x000D_
e) The proposal is anchored by an application in transportation, or more accurately a data set that is used to exemplify_x000D_
the linking.  The proposal doesn't outline the actual questions of interest in the application. I suspect there are some, but it is unfortunate that they _x000D_
did not give the application questions more importance.  _x000D_
There is no explicit industry engagement, dynamic aspects of data, provenance, etc._x000D_
_x000D_
The PIs plan to integrate this topic of record linkage into the curriculum.  It is not clear that it is of highest priority for undergraduates or graduates in already packed curricula._x000D_
Have they discussed this with their colleagues and obtained enthusiastic support/buy-in?_x000D_
They are not trying to unify the curricula across disciplines._x000D_
_x000D_
The questions seem to be very statistically oriented and driven by the statisticians._x000D_
The computer science questions do not seem to be very challenging or ground-breaking._x000D_
_x000D_
Modeling the connections between the observational units via a graph with weights is nice, but not somewhat obvious.  The important aspect of a proposal_x000D_
is to show that this structure leads to insights, ease of analytical computations and more general results.   The proposal doesn't make this case, but future proposals_x000D_
to other calls would benefit from illustrating how these might be possible._x000D_
_x000D_
See overall summary (box 4) for strengths and weaknesses._x000D_
_x000D_
In the context of the five review elements, please _x000D_
evaluate the strengths and weaknesses of the proposal with respect to broader impacts._x000D_
_x000D_
The broader impacts are somewhat narrower than some of the other proposals as there are no planned "public" workshops, etc._x000D_
The impacts are education and workforce training, and the application to transportation_x000D_
(although the questions being answered in this domain are not adequately developed in the proposal)_x000D_
_x000D_
The management, collaboration and evaluation plans are very clear, thorough and well conceived. _x000D_
The collaboration aspects could benefit of true synergistic activities._x000D_
_x000D_
_x000D_
Please evaluate the strengths and _x000D_
weaknesses of the proposal with respect to any additional solicitation-specific review criteria, if _x000D_
applicable_x000D_
_x000D_
a) The proposal is does integrate education into the research. It is not clear that the research tightly integrates the 3 disciplines._x000D_
It is also not clear that record linkage is foundational data science._x000D_
_x000D_
b) This is somewat consistent with the description of the TRIPODS program. The issue is whether the topic is foundational and whether the 3 disciplines will work together on the same problem_x000D_
or  separately on sub-questions._x000D_
_x000D_
c) The proposal will train students. It is slightly more ambitious than some other proposals in doing hands-on mentoring of students._x000D_
_x000D_
d) The synergy is questionable as mentioned above._x000D_
_x000D_
e) Since there is only research topic and is not necessarily foundational, it is not clear that this_x000D_
will lead to identifying the broad foundations  of data science._x000D_
_x000D_
f) The roles are clear and the expertise seems good._x000D_
_x000D_
g) One of the PIs studies transportation so that is the connection to the domain sciences._x000D_
_x000D_
h) The plans are reasonably clear.  Again, the issue of whether the topic is broad enough_x000D_
and foundational is an issue that the panel needs to discuss._x000D_
_x000D_
i) Yes, the evaluation and collaboration plan are very clear, thorough and well thought out._x000D_
_x000D_
j)  Yes, there are clear plans to evaluate and asses at regular intervals._x000D_
_x000D_
_x000D_
Summary Statement_x000D_
_x000D_
Ranking: Good - or doesn't quite meet the TRIPODS requirements._x000D_
_x000D_
There are several reasons that this may not meet the goals/requirements of TRIPODS._x000D_
1) The topic of record linkage is important in Data Science, but is not necessarily foundational_x000D_
2) There is really only one topic with several sub-questions, but it is not clear it warrants an institute_x000D_
or will be able to grow to Phase II._x000D_
3) The questions don't necessarily bring the 3 disciplines together to work on the same problems._x000D_
Rather there is a single high-level problem and the different disciplines address separate sub-problems._x000D_
_x000D_
_x000D_
The research is speculative in that it is not clear how generalizable the ideas and results are and how they simplify analysis or lead to qualitatively new questions. There are some suggestions of this, but it is not clear._x000D_
_x000D_
Record linkage has not been taught in curricula. It is not obvious it is the most important element to add  while omitting other common topics not covered._x000D_
_x000D_
The one-week citation program is very short. What will the students actually learn and will be able to use in research?_x000D_
_x000D_
The proposal does not articulate any questions they will address with the transportation data but seem to be merely using it as an example data set for its structure. I suspect there is more here, but it is not articulated and that is unfortunate._x000D_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</si>
  <si>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institute for advancing foundational understanding of data integration via linkage of large and heterogeneous datasets arising in a broad range of application domains. The proposed research is to develop a novel  combinatorial data structure (or multilayered graph) which allows multiply linked datasets to reinforce one another. _x000D_
_x000D_
The proposed institute activities also include the development of an educational program that involves guest researchers and undergraduate and graduate students; the development of instructional contents and their dissemination through workshops, seminars, webinars, and  related national and international conferences and workshops;  promotion of diversity by inclusion of under-represented minorities. _x000D_
_x000D_
_x000D_
_x000D_
_x000D_
b)	Did the proposal identify specific research topics and clearly describe the roles of the mathematics, theoretical computer science, and statistics communities in addressing these foundational challenges?_x000D_
_x000D_
The proposal has identified the challenge of dealing with heterogeneous datasets and proposed to develop data integration tools using  multilayered graph data structure. There are clear roles for mathematics and statistics communities,  but less clear role for theoretical computer science.  _x000D_
_x000D_
_x000D_
c)	Did the proposal describe novel center-like activities? _x000D_
_x000D_
The proposal has standard center-like activities. _x000D_
_x000D_
d)	Please comment on the Interaction and Synergy among the 3 communities._x000D_
_x000D_
There are ample opportunities for interaction and synergy among mathematics and statistics, but not much involvement of theoretical computer science.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several broad themes like Application-aware foundational research, and dynamic aspects of data._x000D_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project will provide opportunities for mathematics, statistics, and theoretical computer science to interact with each other and develop data integration tools to facilitate learning among multi-type datasets. This will enable formulation and analysis of complex and challenging questions of scientific interest and societal importance._x000D_
_x000D_
The project has an extensive educational component, focusing on graduate and undergraduate education. Special attention will be  given to the education of women and underrepresented populations._x000D_
_x000D_
_x000D_
b)	Did the proposal identify specific broader impact activities and clearly describe the roles of project personnel in addressing these challenges?_x000D_
_x000D_
The project personnel has clearly described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proposed research centers around the development of data integration tools based on  multilayered graph data structure. The proposed research seems to be narrow and thus may not be viewed as theoretical foundations of data science. _x000D_
_x000D_
The proposed research fosters collaboration and interaction between mathematics and statistics, but not much theoretical computer science._x000D_
_x000D_
b.	Does the proposal address the 'broad themes of the program' listed in the Program Description?_x000D_
_x000D_
The proposal addressed some broad themes, but not all._x000D_
_x000D_
c.	Does the proposal address strategies for workforce development, including novel educational and training activities?_x000D_
_x000D_
The proposal addressed adequately the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brings together theories and approaches from 3 communities._x000D_
_x000D_
_x000D_
e.	Vision: Is there a strong case for the ability to identify and articulate a vision for the foundations of data science? _x000D_
_x000D_
The proposal addresses a relatively narrow type of problems in data science which may not be viewed as a vision for the foundations of data science._x000D_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PIs have complementary expertise.  _x000D_
_x000D_
g.	Is there a well-developed plan for communication and interaction with the domain sciences and industry?_x000D_
_x000D_
The communication and interaction with the domain sciences and industry is not adequately addressed._x000D_
_x000D_
h.	Does the proposal provide a clear plan and rationale for an investment of the size proposed, including clear plans to develop capacity for potential future Phase II operations?_x000D_
_x000D_
The proposal addressed the issue of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Summary Statement_x000D_
_x000D_
This aims to establish  a TRIPODS institute for advancing foundational understanding of data integration via linkage of large and heterogeneous datasets. The proposed research is mainly involving mathematics and statistics. There lacks a clear role for theoretical computer science._x000D_
_x000D_
</t>
  </si>
  <si>
    <t>A defining feature of Data Science is the availability of multiple datasets collected on related different units of study, by multiple data-collection modes, in a single subject area. The integration of such datasets into a single data structure, suitable for the development of predictive and descriptive models, is very challenging. Some difficulties are conceptual, due to imprecise linkage between units of different types or uncertain identification of units of the same type, and some are due to missing data. To address them, we build on the team?s expertise in mathematics, statistics, and computer science, to propose a research agenda and Data Integration and Linkage Center built around a unifying novel multi-layer graph structure with nodes of different types marked by data vectors and linked by edges of quantified strengths. Nodes of each type are units of data collection for a specific database; the linkages are specific to the subject-matter at hand, and may depend on probabilistic methods of matching units through concordance of specified data fields. The goal is to develop the theoretical foundation for analyzing and developing predictive and descriptive models for our data structure. The project is presented in the context of road transportation, an application well known to the co-PIs with readily available datasets. Once the datasets are assembled into the proposed data structure, we will (i) specify node types and linkage strengths according to logical relations between persons, areas, and road segments; (ii) develop predictive models relating interesting single-node outcome variables to data vectors which label other nodes linked to the single nodes; (iii) define graphical relationships related to road capacity and travel-time; and (iv) extend core machine learning algorithms to this data structure.Predictive and descriptive models currently used in subject areas with complex multiple datasets are often limited to very simple linkages between datasets. The data structure proposed here allows the linkages either to become the object of statistical models and machine-learning algorithms, or to serve as input to predictive statistical models for aggregates of single-node outcome variables to linked predictive variables derived from the data structure. Unlike the prevalent approach to complex data via hierarchical models, the proposed approach enables investigation of linkage, context and outcomes in a single multi-pass framework in which covariates at one stage become objects of inference at another. We propose to develop (i) new predictive models extending Small Area Estimation; (ii) algorithms to update or impute pair-linkage strengths using data on nodes externally linked to each node-pair; (iii) systematic study of structural problems of identifiability of pair-linkages from covariate data together with linkage weights from the pair to other nodes; and (iv) machine learning algorithms for descriptive and predictive modeling in the multilayered structure. These tools will foster multi-disciplinary contributions, from Mathematics to study structural properties, compatibility and model identifiability; Computer Science to generate effective representations of linked graphical layers and machine learning algorithms for updating linkage strengths; Statistics to develop models, properties of estimators, and tests for model checking.Mathematics, Computer Science and Statistics will synergize in this endeavor through (i) the representation and organization of data into a novel framework; (ii) the development of ideal assumptions connecting the data linkages under which consistent large sample predictions of outcome variables and linkage weights can be made; and (iii) the specification of approximate models and feasible algorithms (via grouping of nodes and other simplifying assumptions). This will enable formulation and analysis of complex and challenging questions of scientific interest and societal importance. Impacts will be felt in different directions: (i) the definition of new data structures, models, and structural questions relating models of constituent parts of the combinatorial structure to one another; (ii) new questions and progress in the specific domain of road transportation analysis and planning; and (iii) software tools and strategies for relating graphical concepts based on quantified linkages in the multi-level data structure to practical optimization problems in other complex data settings, e.g., biomedical applications, social statistics and business. The project has an extensive educational component, focusing on graduate and undergraduate education. Special attention is given to the education of women and underrepresented populations.</t>
  </si>
  <si>
    <t>1740830</t>
  </si>
  <si>
    <t>Sampson</t>
  </si>
  <si>
    <t xml:space="preserve"> Panel Summary       
 Description: _x000D_
The proposal has a very solid description of center-building_x000D_
activities/organization. The research part of the proposal is centered around a_x000D_
few tentative relatively generic topics, including:_x000D_
1. computational-statistical trade-off._x000D_
2. quantifying uncertainty and robustness_x000D_
3. computation for geometric/topological data_x000D_
4. heterogenous data modeling_x000D_
5. uncertainty quantification  _x000D_
_x000D_
Intellectual Merit: _x000D_
The research coverage is quite broad, and includes enough problems, whose solution would have significant_x000D_
impact on data science. However, the research proposal is not_x000D_
sufficiently detailed and mentioned the research themes at a very high_x000D_
level only. It is thus also not clear to what extent are the precise deliverables _x000D_
and to what degree the PI are qualified for the proposed research._x000D_
_x000D_
Strengths _x000D_
+ the center has "visioning workshops" for setting up research agendas_x000D_
+ general research goals are in the scope and are interdisciplinary_x000D_
_x000D_
Weaknesses _x000D_
- the main weakness is that the proposal is too skim on details of_x000D_
research problems, and how they will be carried out. some panelists (but_x000D_
not all) were uncomfortable with the fact that the selection of concrete_x000D_
research directions was left for the future._x000D_
_x000D_
Broader Impact: _x000D_
The center-building activities are described well, and primarily include_x000D_
components of:_x000D_
* graduate student education_x000D_
* developing undergraduate curricula_x000D_
* undergraduate workshops_x000D_
* data science training for industry needs, certificate programs_x000D_
* professional masters._x000D_
_x000D_
Strengths _x000D_
+ the proposal described a very precise plan for center-building, with_x000D_
lots of outreach_x000D_
+ the outreach to professionals, undergraduates is very strong_x000D_
+ collaborating with UPMC would have big impact _x000D_
_x000D_
Weaknesses: no obvious ones_x000D_
_x000D_
_x000D_
TRIPODS-specific criteria: _x000D_
_x000D_
Strengths _x000D_
+ the center building activities are well described and structured_x000D_
+ visioning workshops_x000D_
+ PIs address developing capacity for Phase II_x000D_
+ workforce development is addressed_x000D_
+ there is potential for synergies and interdisciplinary interaction_x000D_
_x000D_
Weaknesses _x000D_
- research and training is not well integrated_x000D_
- since the research is not described in details, it's hard to assess_x000D_
to what degree the problems addressed will be interdisciplinary, and_x000D_
whether an interdisciplinary team will make the effort to collaborate_x000D_
on those problems _x000D_
- there is no focused vision of what the institute would be about_x000D_
_x000D_
Collaboration and Evaluation Plan: _x000D_
The team is quite diverse and inter-disciplinary. However the CE plan_x000D_
does not address explicitly how they will make sure there will be a_x000D_
sustained research collaboration. Evaluation plan is also a little skim._x000D_
_x000D_
Data Management Plan: they don't plan to generate new data._x000D_
_x000D_
Post-doctoral Mentoring Plan: _x000D_
the plan is quite short, but the the main body_x000D_
describes the exact role of postdocs in the institute._x000D_
_x000D_
_x000D_
Suggestions to PI: _x000D_
The proposal should include a more detailed and concrete plan for_x000D_
performing research activities, including describing:_x000D_
* what the the new technical problems_x000D_
* to what extent they innovative/challenging/transforming_x000D_
* why the PIs are among some of the best suited researchers to address_x000D_
these problems_x000D_
* why the research problems are high-reward_x000D_
_x000D_
Justification for Panel Rating: _x000D_
There was some discussion whether it is an advantage that_x000D_
the proposal does not have a concrete plan for research (and leaves it_x000D_
for future visioning workshops). At the end, the panel decided that it_x000D_
was a disadvantage because it_x000D_
was expected that the proposals have a more concrete, developed_x000D_
plan of research activities, which demonstrates why the problems are_x000D_
relevant, inter-disciplinary, with high impact potential, and use PIs_x000D_
expertise well. _x000D_
_x000D_
Panel Rating:_x000D_
_ Highly Recommended _x000D_
_ Recommended _x000D_
X Not Recommended _x000D_
_x000D_
The summary was read by/to the panel and the panel concurred that the summary accurately reflects the panel discussion._x000D_
</t>
  </si>
  <si>
    <t>TRIPODS Review Analysis_x000D_
_x000D_
Panel Recommendation: Not Recommended (NR) or Not Discussed in Panel (NDP)_x000D_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2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7 proposals _x000D_
Not Recommended: 10 proposals _x000D_
Not Discussed in Panel: 11 proposals_x000D_
_x000D_
Panel Ranking: _x000D_
_x000D_
This proposal was among the 21 rated NR and NDP._x000D_
_x000D_
Analysis and recommendation:_x000D_
_x000D_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 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Response to E review:_x000D_
_x000D_
The reviewer praised (and detailed) the institute-building aspects of the proposal, and agreed that the research plan was not well developed.  Other proposals were strong on both aspects, and thus much better candidates for TRIPODS awards._x000D_
_x000D_
For this proposal, I concur with the overall assessment of the panel, and my recommendation is that this proposal be declined.  _x000D_
_x000D_
_x000D_
Tracy Kimbrel, Program Officer _x000D_
Division of Computing and Communication Foundations _x000D_
Aug 3, 2017 _x000D_
_x000D_
On behalf of the TRIPODS Management Team _x000D_
Nandini Kannan _x000D_
Tracy Kimbrel _x000D_
Jack Snoeyink _x000D_
Christopher Stark</t>
  </si>
  <si>
    <t xml:space="preserve">In the context of the five review elements, please _x000D_
evaluate the strengths and weaknesses of the proposal with respect to intellectual merit._x000D_
_x000D_
This proposal focuses a lot on describing the organization of the_x000D_
institute and the plan for ramping up center-building activities._x000D_
_x000D_
The research component is described as well, though it is not_x000D_
developed in much detail. There are 4 proposed research themes:_x000D_
1. computational-statistical trade-off. of particular interest seems_x000D_
to be a certain type of contamination (statistical) model._x000D_
2. quantifying uncertainty and robustness_x000D_
3. computation for geometric/topological data_x000D_
4. heterogenous data modeling (like the one available from UP Medical Center)_x000D_
5. uncertainty quantification_x000D_
_x000D_
S/W:_x000D_
+ themes are naturally interdisciplinary (b/w the 3 disciplines of interest)_x000D_
+ there are "agenda-setting workshops" to narrow down the themes_x000D_
(though I would have expected this to be more precise)_x000D_
- the themes and the precise novel research *goals* are not articulated_x000D_
well_x000D_
- the extent to which PIs expertise connects to these themes is not clear_x000D_
_x000D_
The center-building activities are described well, and primarily includes_x000D_
components of:_x000D_
* grad student education_x000D_
* developing undergrad curricula_x000D_
* undergrad workshops_x000D_
* DS training for industry needs, certificate programs_x000D_
* professional masters._x000D_
_x000D_
_x000D_
In the context of the five review elements, please _x000D_
evaluate the strengths and weaknesses of the proposal with respect to broader impacts._x000D_
_x000D_
BI are well-described. Besides the impact through center-building_x000D_
activities (that already include interaction with undergrads, and_x000D_
professionals outside academia), there is effort to reach out to high_x000D_
school students (eg, via intro DS course to regional high schools)_x000D_
and, generally, students with less math-heavy background._x000D_
_x000D_
_x000D_
Please evaluate the strengths and _x000D_
weaknesses of the proposal with respect to any additional solicitation-specific review criteria, if _x000D_
applicable_x000D_
_x000D_
The research and training is not directly integrated, but visioning_x000D_
workshop are planned. Broad themes are addressed well._x000D_
_x000D_
The proposed research has a big plus of being quite_x000D_
inter-disciplinary, and requires backgrounds from the 3_x000D_
disciplines. However, such interaction is not described too_x000D_
well. Also, the actual research themes are not developed in_x000D_
detail. As a result, it is currently hard to extract a "vision"._x000D_
_x000D_
Connection to domain sciences (in particular via UPMC) and industry_x000D_
seems strong._x000D_
_x000D_
_x000D_
Summary Statement_x000D_
_x000D_
Overall this is a good, sound proposal that lays out a plan for an_x000D_
institute. The organization of the institute is well described, with_x000D_
good center-building activities. These are not clearly tied to the_x000D_
research plans however. The research activity is in the form of 5 themes),_x000D_
has the advantage of being naturally inter-disciplinary; however, I_x000D_
feel it is underdeveloped and lack a concrete new, exciting vision._x000D_
_x000D_
</t>
  </si>
  <si>
    <t xml:space="preserve">In the context of the five review elements, please _x000D_
evaluate the strengths and weaknesses of the proposal with respect to intellectual merit._x000D_
_x000D_
The proposal suggests a focus on:_x000D_
1) computation-statistics tradeoffs,_x000D_
2) machine learning algorithms,_x000D_
3) geometric and topological data analysis,_x000D_
4) heterogeneous data modeling, and_x000D_
5) uncertainty quantification._x000D_
These topics are too broad for the proposal to suggest any specific, actionable research activities._x000D_
_x000D_
In the context of the five review elements, please _x000D_
evaluate the strengths and weaknesses of the proposal with respect to broader impacts._x000D_
_x000D_
The broader impacts include a plan to offer data science to regional high school students and other curriculum development plans.  They also describe training programs for postdoctoral research associates, graduate students, and undergraduates.  Their recruitment plan for underrepresented minorities is focused on capitalizing on the diversity of the institution, though with no real plans for how to recruit students into data science._x000D_
_x000D_
Please evaluate the strengths and _x000D_
weaknesses of the proposal with respect to any additional solicitation-specific review criteria, if _x000D_
applicable_x000D_
_x000D_
The proposal is lacking a cohesive and focused vision for the institute.  The collaboration and evaluation plan is detailed, though is mostly focused on describing the Co-PIs areas of expertise and ensuring that the workshops and other events associated with the institute happen according to the timeline.  There is no evaluation of the research goals associated with the institute and the vision of the institute seems to be more focused on teaching and curriculum than research._x000D_
_x000D_
Summary Statement_x000D_
_x000D_
The proposal focused on the logistical aspects of coordinating the institute to the detriment of the research ideas, which are not focused enough to form a cohesive institute vision and clear research program._x000D_
_x000D_
</t>
  </si>
  <si>
    <t xml:space="preserve">In the context of the five review elements, please _x000D_
evaluate the strengths and weaknesses of the proposal with respect to intellectual merit._x000D_
_x000D_
The proposal presents plans to establish the Theoretical Research, Educational and Transformative Data Science Institute (TREaT DSI) at University of Pittsburgh. Taking advantage of existing resources, the PIs propose activities in research, education, workforce development and outreach that integrate mathematics, statistics, and theoretical computer science at multiple levels, emphasizing a center-like structure. The main Phase I goals include setting research agendas and interdisciplinary collaborations that are relevant to TRIPODS, development of curricula and courses, increasing data science awareness among students, industry, and the public at large._x000D_
_x000D_
I find this proposal very well structured and crafted, with many things to like. Additionally, the narrative is lucid and to the point. The proposal begins with an informative account of existing human and other resources related to data science available at University of Pittsburgh, research and educational activities already in place, as well as a description in broad strokes of the areas of research related to data science in which there is significant activity in the units that will support the implementation of TREaTS: computer science, mathematics, information science, and statistics. The proposal then goes on to explain how these resources will be put to use in creating an institute that will foster cross-disciplinary activities and accomplish the set goals. Based on the available expertise, the PIs identify five broad areas of research that TREaTS will focus on: robust computation-statistics tradeoff, robustness of supervised learning algorithms, geometric and topological data analysis, heterogeneous data, and uncertainty quantification. They also describe some general lines of research within each main theme, but they do not attempt to propose specific research problems. Instead, they offer solid evidence that there are good reasons to believe that TREaTS will be well equipped to contribute meaningful advances in these areas, leaving the discussion of more specific research questions as a part of the institute activities. I think there is wisdom in this approach, as this will, by design, generate interactions among the three core disciplines and encourage non-traditional thinking. This structure also seems to be more conducive to development of institute capabilities. For example, one of the first proposed research activities will be a Year 1 workshop to brainstorm and discuss research themes whose final selection will be vetted by the workshop and approved by the Executive Board. I give high marks to the proposal for devising strategies to foster synergies among the three communities and for focusing on center-like activities. The project demonstrates plans for addressing broad TRIPODS themes such as application-aware foundational research, unifying curricula, and development of common terminologies and concepts through various activities. I will say more about these below. For now, I just add that the University of Pittsburgh Medical Center (UPMC) is described as a leading institution in building medical records and developing approaches to medical innovations from these data. UPMC will provide a test bed for new approaches to data and an environment for training students and postdocs. A local resource such as UPMC certainly represents a significant plus._x000D_
_x000D_
In the context of the five review elements, please _x000D_
evaluate the strengths and weaknesses of the proposal with respect to broader impacts._x000D_
_x000D_
Besides dissemination of research through the traditional channels, the PIs anticipate that TREaTS will have a significant impact on education and training at the undergraduate, graduate, and postdoc levels. As already noted, some of the training will be done in collaboration with UPMC. This should contribute to application-awareness of the activities. The PIs propose to develop undergraduate data science programs attuned to foundations in Year 1 working in conjunction with the four supporting units. Various implementation mechanisms are described in the proposal. Among other things, two project investigators will be appointed by the Executive Board to draft documents describing the requirements for the new undergraduate majors. The PIs also envision University of Pittsburgh as a major provider of data scientists to industries in Southwestern Pennsylvania. The proposal includes development of certificate in data science programs in collaboration with local industry to train current employees and contribute to retraining individuals in new job skills. This workforce development effort will be the educational focus of Year 2. Meetings with local industry representatives will be coordinated through an Outreach Subcommittee and the certificate programs will be administered by the College of General Studies. In Year 3 the educational focus will shift to professional masters programs in data science.  Developments at the PhD level will be left for Phase II. This seems to be reasonable, as at that point they probably will be able to better assess how to best complement existing PhD programs in the four units. The PIs also propose to offer introductory data science courses to reach minority populations in high schools working with the University of Pittsburgh's College in High Schools Program. They also outline plans to visit high schools to promote careers in data science. The plans look sound and well structured, and there seems to be sufficient discussion of the roles of project personnel in these activities to support the proposal._x000D_
_x000D_
Please evaluate the strengths and _x000D_
weaknesses of the proposal with respect to any additional solicitation-specific review criteria, if _x000D_
applicable_x000D_
_x000D_
The research and training programs seem to be very well integrated, structured to foster significant collaborations and interactions among the three communities. The team of senior investigators seems to be well qualified to implement the proposed research strategies and program. The proposed organization into focused research groups enhances the potential for development of synergies among the disciplines. The proposal presents a clear description of the activities and timeline for participation of undergraduates, graduate students and postdocs in the project. Training will be enhanced by interaction with domain scientists through UPMC. Students and postdocs also will participate in undergraduate workshops hosted by TREaTS that will include poster sessions and oral presentations by graduate assistants, postdocs and faculty.  The application awareness component is strong and so is the proposal for curriculum unification and development. As already noted, the proposal outlines a significant workforce development effort through interaction with local industry. The vision outlined in the proposal for foundations of data science and for integration of the various components of the project is sound and well articulated. I like the fact that they take a more global view of research, focusing more on the region in the educational and workforce development undertakings. One point that I find particularly strong is that the proposed Phase I activities are highly attuned to development of Phase II center-like capabilities. _x000D_
_x000D_
The collaboration plan describes the areas of expertise of each investigator and the roles of the principal investigators in the project with sufficient details to support the proposal. The evaluation consists primarily of a list of objectives and some qualitative and quantitative measures for each year of the project. They seem to be consistent with what is said in the project description. However, the evaluation plan should be more objective and explain clearly how success will be gauged. This part of the evaluation plan is underdeveloped. The plan also should provide more details on how the evaluations will inform the proposed developments. These are the few weaknesses that I note._x000D_
_x000D_
Summary Statement_x000D_
_x000D_
This is a strong proposal for establishing an institute for foundations of data science at University of Pittsburgh. The planned research, educational, and outreach activities are well integrated and I particularly like the overall design that emphasizes center-like activities. The organizational structure also is laid out clearly. However, I think the evaluation plan should be refined if the project gets funded. _x000D_
_x000D_
The data management plan simply states that the project will not generate new data, but materials and documents produced by the project may be viewed as data. This, however, does not weaken the proposal because there is enough discussion of these in the main body of the proposal. Postdoc mentoring activities also are discussed primarily in the project description._x000D_
_x000D_
I rank this as the top proposal among those I have read._x000D_
_x000D_
</t>
  </si>
  <si>
    <t>This proposal details our plans for the University of Pittsburgh's Theoretical Research, Educational and Transformative Data Science Institute (TREaT DSI). The University's flexibility to develop transformative research bonds and novel educational and training programs, together with its close relationship to the University of Pittsburgh Medical Center (UPMC), provides a unique environment for innovative data science research, training, and outreach. The proposed activities and structure of TREaT DSI aim to provide common basis for interdisciplinary collaborations to advance the theoretical foundations of data science, to develop curricula and courses that support the education and training at all levels of next-generation data scientists, to intertwine researchers and data science users, and to increase data science awareness among students and general public at large. _x000D_
   The DSI will take advantage of the University's rich resources including the UPMC's medical big data warehouse and established research centers, as well as the University's relation to local schools and industry. In particular, the DSI will focus on setting research agendas that are most relevant to TRIPODS and the individual research credentials of institute researchers, while the opinions of data science users in local high-tech and medical industry will also be important. Furthermore, existing structures of the University will be used to design and implement outreach activities to professionals, local colleges and high-schools.  _x000D_
   The DSI in its Phase I period plans to hold several research workshops and support focused year-long research groups to build strong collaboration networks among the Departments of Mathematics, Computer Science, Statistics and Information Science. Graduate students and post-doctoral researchers will also be exposed in the interdisciplinary research activities. The institute will further support interdisciplinary data science curricula development for professionals, undergraduates including underrepresented minors, and high-school students.The core activities of TREaT DSI will transcend disciplinary boundaries and advance novel interdisciplinary research between computer scientists, mathematicians and statisticians, where comprehensive foundational research requires integrating concepts related to information processing methods, concepts and methods dealing with the quantification of uncertainty and theory for inferential and computational efficiency. Based on the current strengths of four member departments, DSI investigators have initiated a number of collaborations that have led to some key research topics that span different fields and have the potential to meld together to form new foundations for data science. The proposed research themes include 1) computation-statistics tradeoff, 2) machine learning algorithms, 3) geometrical and topological data analysis, 4) heterogeneous data modeling, and 5) foundations of uncertainty quantification. Each of the topics will draw investigators from at least two disciplines. It is anticipated that under strong communication mechanisms fostered by the DSI, these key theoretical foundation research will contribute to the development of data science as a new scientific field.The TREaT DSI has the potential to develop foundational notions for data science that contribute to the basis for the integration of data science ideas from the four component disciplines. By involving postdoctoral fellows, graduate students and undergraduates in these research activities, the DSI will prepare future data scientists to conduct research building further foundations. By supporting the building of state-of-the-art undergraduate data science programs attuned to the new foundations of data science, the University of Pittsburgh will become a major provider of knowledgeable data scientists to advance the information-intensive industries that are driving the economic growth of Southwestern Pennsylvania. Furthermore, the envisioned certificates in data science developed in coordination with local industrial users will facilitate the training and skills of current employees and contribute to the retraining of working individuals to succeed in the changing market for job skills. The plan to offer an introductory data science course to regional high schools has the promise to advance the numbers of under-represented minorities choosing to study data science in college.</t>
  </si>
  <si>
    <t>1740831</t>
  </si>
  <si>
    <t>Ramachandran</t>
  </si>
  <si>
    <t xml:space="preserve"> Panel Summary       
  Description: This proposal focuses on data science that aims to build smart communities abbreviated as S&amp;CC. It plans to address different technical and pedagogical challenges ensuing from using and interpreting variety of data encountered during building S&amp;CC._x000D_
_x000D_
Intellectual Merit: _x000D_
_x000D_
Strengths _x000D_
 + The proposal reads well and it clearly designates the problems and delineates a plan for building an institute_x000D_
  _x000D_
Weaknesses _x000D_
 - While detailing about the four objectives, the proposal touches upon general goals, but not the specific technical details. For example, we all know ''we need to utilize advanced mathematical techniques for the development of sound methodologies to deal with complex data science''. But, the question is what are the specific techniques to be applied to specific challenges._x000D_
_x000D_
 - The specifics on how the identified problems will be addressed technically are not given. The panel felt that the ``theoretical foundation of data science" has not been addressed by the proposal. _x000D_
_x000D_
_x000D_
Broader Impact: _x000D_
Strengths _x000D_
 + Proposed research will help creating smart communities_x000D_
 + The institute will provide workforce training for data science, develop curriculum around it, and engage in various community outreach activities._x000D_
 + Proposal is application-aware_x000D_
 _x000D_
Weaknesses _x000D_
 - Education plan is not sufficiently developed_x000D_
 - Being application-aware, proposed activity needs more engagement with the industries/government_x000D_
_x000D_
_x000D_
TRIPODS-specific criteria:  _x000D_
It meets most of the solicitation specific criteria for building an institute._x000D_
Strengths _x000D_
 + Plan for workforce development through training, certificate and honor courses_x000D_
 + Already a collaboration among the PIs exist because they are part of the existing IDSC institute at USF._x000D_
 + Community outreach by annual workshops, brainstorming activities with industries and other stakeholders._x000D_
_x000D_
Weaknesses _x000D_
 - The education plan is described in broad terms, the specifics are missing._x000D_
 - The team does not include the theoretical computer science component._x000D_
 - It is not promising enough for Phase II scale-up_x000D_
 _x000D_
_x000D_
Collaboration and Evaluation Plan: The existing collaboration among the PIs will be strengthened. The scope for fusion of the theories from mathematics, statistics, and theoretical computer science is not convincing. There is an extensive plan for evaluation by advisory committees and other means._x000D_
_x000D_
Data Management Plan: Mentions about a plan for open source software competition and maintenance of web-pages containing the results from the project. _x000D_
_x000D_
_x000D_
Suggestions to PI: The proposed work may have been more suitable for the NSF program in Smart &amp; Connected Communities (NSF 16-610)._x000D_
_x000D_
Justification for Panel Rating: The panel does not think that this proposal has sufficient technical content to address the theoretical foundation of data science. The proposal would have benefited from including someone with expertise in theoretical computer science. The education plan is not sufficiently detailed._x000D_
_x000D_
Panel Rating: _x000D_
_ Highly Recommended _x000D_
_ Recommended _x000D_
X- Not Recommended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</si>
  <si>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The main application focus is Smart and Connected Communities leading to the following data-driven themes outlined in the proposal:  data repository, theoretical development through mathematical modeling, statistical modeling and analysis, and applications.  This is an important and timely focus, with large, dynamic, and complex data forcing novel approaches and theory development in Mathematics, Computer Science, and Statistics.  The proposal outlines a number of research projects in these areas._x000D_
_x000D_
In the context of the five review elements, please _x000D_
evaluate the strengths and weaknesses of the proposal with respect to broader impacts._x000D_
_x000D_
The potential for broader impact from progress in addressing the main application focus of Smart and Connected Communities is clear.  In addition, the proposal outlines plans for biweekly seminars, annual workshops, and open source competitions (similar to Kaggle competitions).  The proposal dedicates attention to creating a publicly available respository.  The budget also includes support for 5 graduate students/year.  The open source competition is an interesting touch._x000D_
_x000D_
_x000D_
Please evaluate the strengths and _x000D_
weaknesses of the proposal with respect to any additional solicitation-specific review criteria, if _x000D_
applicable_x000D_
_x000D_
The Collaboration and Evaluation Plan is good and includes a clear division of labor and plans for both internal and external review boards to provide feedback.  The broad vision for data science was discussed, but occasionally lacked clarity.  Of the program themes, the proposal addresses application-aware foundational research and dynamic aspects of data and, less directly, industry engagement including existing collaborations mentioned in the Collaboration Plan.  Developing common terminologies and concepts and the other program themes received less attention.  The PI and co-PIs come from different departments and have well-established research programs representing Applied Mathematics, Computer Science, Statistics, and Engineering._x000D_
_x000D_
_x000D_
_x000D_
Summary Statement_x000D_
_x000D_
The PIs have strong research records and the main application focus of Smart and Connected Communities is an ambitious and important topic.  Compared to the other strong proposals I've reviewed, I rank this one in the middle third._x000D_
_x000D_
</t>
  </si>
  <si>
    <t xml:space="preserve">In the context of the five review elements, please _x000D_
evaluate the strengths and weaknesses of the proposal with respect to intellectual merit._x000D_
_x000D_
This proposal describes a plan to develop methodologies and workforce that can serve the need of building smart communities abbreviated as S&amp;CC. The main four aspects of the proposed activities are: (i) building a data repository that will collect, curate and store different types of data efficiently (ii) develop theoretical understanding of data science (iii) statistical modeling and validation of data--mainly in the context of streaming data that are abundant in S&amp;CC environment (iv) cater to the applications arising in the context of S&amp;CC developments and decision making._x000D_
_x000D_
The proposed activity will leverage on a platform called IDSC (interdisciplinary data sciences) that has been constituted at USF to address data science challenge. The TRIPODS institute (IDSI) will be under the aegis of this comprehensive platform. There is a focused plan for developing the future workforce through certificate and other special programs, workshops, seminars, and other activities._x000D_
_x000D_
The proposal, in general, is well written. It describes the goals clearly and sets up the agenda for creating an institute on data science in an organized manner. However, the main shortcoming of the proposal is that it is thin in technical content. While detailing about the four objectives, the proposal hyperbole on general goals, but not on specific technical details. For example, we all know ''we need to utilize advanced mathematical techniques for the development of sound methodologies to deal with complex data science". But, what are the specific techniques to be applied to specific challenges. Another example is the short description about TDA (Topological Data Analysis). The description contains only a general introduction written in any survey paper. But, what are the specific problems and what are the approaches to it from TDA perspective? It is understood that not all details can be expected now, but a hint that technical understanding at deeper level exists would have enhanced the proposal's appeal. This lacking is evident in all four objective descriptions._x000D_
_x000D_
In the context of the five review elements, please _x000D_
evaluate the strengths and weaknesses of the proposal with respect to broader impacts._x000D_
_x000D_
The broader impact mentions that the proposed research on data science will benefit building smart communities S&amp;CC. Undoubtedly this requires understanding data from various angles for planning and decision making. The project aspires to make an impact toward this broader goal. The proposal has elaborate plan for curriculum development, training workforce for data science, and various community outreach programs._x000D_
_x000D_
Please evaluate the strengths and _x000D_
weaknesses of the proposal with respect to any additional solicitation-specific review criteria, if _x000D_
applicable_x000D_
_x000D_
The proposal is good on meeting the solicitation-specific criteria except that it is not deep on the technical content. _x000D_
(i) It delineates strategic approaches to develop the workforce for data science through certificate and special honors course work. _x000D_
(ii) It proposes to hold annual workshops on data science and conduct open source competitions for data science challenges._x000D_
(iii) For reaching out to the community, it proposes to create student clubs, seminar series, sessions for brainstorming with the industry, government and other stakeholders in data science. _x000D_
(iv) Already collaborations among the PIs exist because they are members of the established IDSC institute. In fact, the proposal says that Phase I does not need any extra effort for collaboration. However, there is hardly any description on collaborative research that is already existing._x000D_
(v) There is extensive plan for performance evaluation. It includes forming internal and external advisory committees and getting evaluated regularly by them. Surveys and feedback from the participants in offered courses, open source software competitions, web-page downloads will be part of the evaluation_x000D_
(vi) There is a plan for scaling up to the phase II by basically increasing various activities in phase I._x000D_
_x000D_
_x000D_
Summary Statement_x000D_
_x000D_
This is a good proposal but is short in technical aspect. Also, it is short slightly on past synergistic activities on technical collaborations._x000D_
_x000D_
</t>
  </si>
  <si>
    <t xml:space="preserve">In the context of the five review elements, please _x000D_
evaluate the strengths and weaknesses of the proposal with respect to intellectual merit._x000D_
_x000D_
This is an interdisciplinary team, but the absence of a theoretical computer scientist is a glaring weakness of the proposal. Judging by recent grants and publications, some of the team members seem to be focused on pedagogical and outreach aspects, rather than on research. While this is laudable in itself, it is a weakness in a project whose main goal is to develop the research foundations of the field of data science. _x000D_
_x000D_
The main thrusts of the proposal are to build a data repository with complex types of data on which to test the algorithms they design, to do statistical and mathematical modeling and symbolic computation  to develop principled algorithms, and to use as a test case the application and data sets arising from a Smart and Connected Communities project._x000D_
_x000D_
The proposal identified and spoke in general terms about research topics such as symbolic computation and the application of this to solving differential equations etc. There was very little detail nor was there a hint of the research challenges. _x000D_
_x000D_
The project is definitely application-aware. But there is surprisingly little industry involvement. The education plan is also described in broad and generic terms leading this reviewer to wonder if the PIs have really given any thought to the content of the courses they plan to develop in the fancily-named 'data sciences honors suite'. _x000D_
_x000D_
None of the other topics such as privacy are touched upon in this project. _x000D_
_x000D_
_x000D_
_x000D_
_x000D_
In the context of the five review elements, please _x000D_
evaluate the strengths and weaknesses of the proposal with respect to broader impacts._x000D_
_x000D_
The highlights of the education plan are to develop graduate and professional certificates in Data Science, and an Honors Suite for undergraduates. By focusing on application areas arising from the Internet of Things, and more specifically from Smart and Connected Communities, this proposal will have obvious broader impact._x000D_
_x000D_
The education plan is poorly specified._x000D_
_x000D_
Please evaluate the strengths and _x000D_
weaknesses of the proposal with respect to any additional solicitation-specific review criteria, if _x000D_
applicable_x000D_
_x000D_
Insufficient expertise in theoretical computer science and in machine learning. While there are plans to launch educational programs, the proposal does not talk about existing efforts in data science at USF. It is also unclear whether this proposal is suitable for a Phase II scale-up._x000D_
_x000D_
The PIs do not cover the disciplines for TRIPODS. Not clear what transdisciplinarity/synergy can arise from this team._x000D_
_x000D_
I don't think this project has the right vision for the foundations of data science._x000D_
_x000D_
Summary Statement_x000D_
_x000D_
With a slight reorientation this proposal could be more suitable for an applied program funding Smart and Connected Communities._x000D_
_x000D_
</t>
  </si>
  <si>
    <t xml:space="preserve">In the context of the five review elements, please _x000D_
evaluate the strengths and weaknesses of the proposal with respect to intellectual merit._x000D_
_x000D_
+deals with general and important research question: streaming data analysis_x000D_
_x000D_
+has very comprehensive and clear research goals_x000D_
_x000D_
-lack of novel or clear research strategy, not sure symbolic computation is the right approach here_x000D_
_x000D_
-too brief on the methodologies for the statistical modeling of streaming data; no new foundational theory or  methodologies have been proposed_x000D_
_x000D_
In the context of the five review elements, please _x000D_
evaluate the strengths and weaknesses of the proposal with respect to broader impacts._x000D_
_x000D_
+the proposal has a clear and comprehensive training plan which can have potential impact inside and outside the UCF community _x000D_
+sufficient budget for graduate students (5 graduates students)_x000D_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an interdisciplinary data science institute (IDSI)  at UCF for research and training focusing on streaming data analysis  with an ultimate goal of  supporting real-time decision making. The proposal has clear research goals/aims which include (1) data repository dealing with data collection, storage, managements and etc; (2) building mathematical foundation; (3) proposing statistical modeling techniques; (4) validating  the research with applications.  The propose research is clearly important given the that ubiquity of streaming data and lacking of efficient general methods/algorithms for the analysis of such data. The proposal is very well-structured with clear descriptions research goals. However, there are some concerns on the propose research strategy or methodologies for achieving the research goals. For example, in building mathematical foundations for streaming data analysis, the PIs propose to develop symbolic computation methods. It is unclear to me whether symbols computation would be the rescue where for the challenges of streaming data analysis. Similar concerns  arise for the statistical modeling component, the PIs clearly outline the challenges related to the  statistical analysis of streaming data and were very specific with what they want to achieve, but they do not provide any new modeling strategies/methods for achieving the goals. The overall impression is that the the research description is very brief and not significant ly new research has been proposed. _x000D_
_x000D_
The proposal has a very good training/education plan (one of the best among all the educations plan that I have). The plan is very specific which involves training workforce of graduate student/undergraduate students, and other researchers via conference/workshop and etc._x000D_
_x000D_
</t>
  </si>
  <si>
    <t xml:space="preserve">In the context of the five review elements, please _x000D_
evaluate the strengths and weaknesses of the proposal with respect to intellectual merit._x000D_
_x000D_
The proposal is to create an institute that leverages problems in Smart and Connected Communities (S&amp;CC) to develop foundational methods and algorithms in Data Science and develop a data science workforce._x000D_
The 4 primary research themes are_x000D_
Data collection and management with potential use of GPUs and FPGAs and also "swarming algorithms" for collecting distributed data from electrical vehicles (EV)_x000D_
Enhanced symbolic computation tools (think Maple) for parallel execution._x000D_
Spatio-temporal statistical techniques for streaming data; visualization for data triage_x000D_
3 questions related to electrical vehicles, specifically data collection, optimal battery charging strategy, and economic incentives for EVs and electricity providers_x000D_
_x000D_
Smart and Connected Communities are very interesting. However, the research questions are not necessarily compatible with TRIPODS's foundations of data science purpose._x000D_
_x000D_
b) The proposal is vague and did not adequately address the foundational challenges or the roles of the different fields or how they would collaborate synergistically_x000D_
_x000D_
c) The center activities are adequate but not sufficiently frequent to regularly bring people together to foster collaboration across the disciplines._x000D_
The "Annual Idea Exchange" has some novelty but it remains to be seen if it would be effective._x000D_
_x000D_
d) The foundational research tasks seem to be quite separate and do not bring researchers from the fields together._x000D_
Indeed, the proposal explicitly states that answering the S&amp;CC questions is where the team will work together._x000D_
_x000D_
e) The proposal addresses streaming data, data science courses and certificates for different types of students._x000D_
There is an implied "industry" connection with electricity suppliers. However, this not made explicit so it may not exist. _x000D_
The "Idea Exchange Day" would involve industry, but is far from concrete and far too infrequent to describe as active engagement._x000D_
The proposal is application-aware via the focus on S&amp;CCs._x000D_
_x000D_
There is no mention of provenance, reproducability, ethics, etc., i.e. the elements that make Data Science much more than simply CS, Stat and Math._x000D_
_x000D_
The proposal is too vague with very few concrete details of ideas for their research. It is also focuses on the typical work of the existing fields and does not provide a vision for synergy across the fields, or even much collaboration._x000D_
_x000D_
Strengths are_x000D_
+ the application area, although it is underdeveloped and focuses narrowly within that area,_x000D_
+ focus on computing and visualization which are not always considered foundational, but again the proposal is not detailed enough on these to make them foundational._x000D_
_x000D_
In the context of the five review elements, please _x000D_
evaluate the strengths and weaknesses of the proposal with respect to broader impacts._x000D_
_x000D_
The broader impacts include the usual seminars, workshops, Web portal, training students, academic programs,  outreach, etc. and also the potential contributions to S&amp;CC._x000D_
_x000D_
Please evaluate the strengths and _x000D_
weaknesses of the proposal with respect to any additional solicitation-specific review criteria, if _x000D_
applicable_x000D_
_x000D_
a) The research is not well-integrated across fields. It is loosely connected to the training in that the PIs will leverage the topics in courses they plan to develop._x000D_
The proposal does not make a compelling case for why some of the topics they will explore are foundational. (This is not to say the topics are not, just that they do not make the case.)_x000D_
_x000D_
b) The proposal takes a different perspective on foundational.  This different focus has some merits, but is not adequately developed._x000D_
_x000D_
c) The educational and training activities are reasonable. They are not particularly novel._x000D_
_x000D_
d) There does not seem to be a fusing of theories from the different  fields but rather solving different sub-tasks separately._x000D_
_x000D_
e) The proposal does not articulate a vision for the foundations of data science.  In some ways, it is more focused on  an application area, and yet that receives only a brief description. The research themes are nominally focused on this application, but are not motivated in the document by the questions.  So the proposal talks about potentially foundational topics, but does not connect them together to provide a vision of foundations of data science._x000D_
_x000D_
f) The PIs are likely qualified to address the research questions and training. Each of the research tasks involve 2 or 3 PIs and so there is collaboration. They will "team teach" 3 to 4 data science courses. I hope each class is team-taught rather than just the courses taught by an individual from the team._x000D_
_x000D_
g) The focus on S&amp;CC would suggest interaction with industry/government organization. However, it is not identified explicitly in the proposal._x000D_
_x000D_
h) No, the proposal is not convincing for such an investment. The mention of planning for Phase II essentially consists only of saying that they will develop a plan with the advisory boards in year 2. There is no mention of possible enhancements._x000D_
_x000D_
i) There are no explicit measures of success and no details on Phase II plan development._x000D_
_x000D_
j) The assessment and evaluation plan is fine.  They will have both an internal and external advisory board, they will survey the participants_x000D_
and students in the academic programs, and the usual measurement of  publications, citations, Web site visits._x000D_
Each project will submit a per-semester report on their work and these will be integrated into a progress report for the steering committee_x000D_
and annual report for the advisory boards._x000D_
_x000D_
_x000D_
Summary Statement_x000D_
_x000D_
Ranking:  Fair_x000D_
_x000D_
The "foundational" research topics are potentially interesting but the proposal is too generic and vague about any details of the research._x000D_
_x000D_
The proposal doesn't seem to really focus on foundational aspects of Data Science, but rather solving specific interesting problems that could be done within one of the existing fields._x000D_
_x000D_
It does not seem to bring the fields together._x000D_
_x000D_
It is not mentioned in the proposal whether the PIs have access to the S&amp;CC data streams._x000D_
They don't mention partners who would provide them access even for a single "community"._x000D_
The focus on Smart and Connected Communities has potential (but is not entirely novel)._x000D_
However, there is only one page starting at page 10 that identifies any specific questions_x000D_
related to S&amp;SC. These are okay, but they should have been presented first and used to motivate_x000D_
the potential research that the authors list in the 4 themes.  The generality and lack of details_x000D_
and the lack of explicit connection and interplay between research and motivating questions greatly reduces my_x000D_
belief in the effectiveness of this institute._x000D_
_x000D_
One of the 3 specific S&amp;CC questions involves economic incentives. However, there does not seem to be an economist in the team._x000D_
_x000D_
_x000D_
</t>
  </si>
  <si>
    <t>This proposal is for NSF-TRIPODS Institute: TRIPODS-Interdisciplinary Data Sciences Institute (IDSI), which will be hosed in the graduate School of the University of South Florida (USF). The goal of IDSI is to advance research in mathematical, computational, and statistical theories and algorithms, and develop a suite of practical and innovative tools based on intelligent data synthesis and analysis to advance and support real-time decision making in Data Sciences as well as develop a robust workforce for sustainable development. The major focus will be on data science challenges arising from the transformations towards the smart and connected communities (S&amp;CC), particularly on the aspects of S&amp;CC that are supported by dynamic and geospatial data. This proposal will have the following data centric components: (i) develop new data-driven methods based on sound mathematical theories, machine learning and statistical models and algorithms to advance the foundational, strategic, and tactical understanding of new data science (DS) challenges, (ii) develop robust workforce and professional development programs that target a variety of constituencies ranging from undergraduate students to industry professionals so that a new generation of experts in data sciences may emerge, (iii) develop new methodologies to aid in adaptation of opportunities arising from the smartness and connectedness of our communities, and (iv) enhance community building and expert network.This proposed research will create novel theories, algorithms, and visualization tools for spatio-temporal streaming data analytics, which will enhance the data science methods for real-time data analytics. The methods that will be developed in this research, such as foundational theories, algorithms and other computational tools adapted to cloud computing, can enrich the collection of tools available for streaming data analysis. Also a new and improved resource in the area of real time data analytics will create advanced tools for facilitating improved and timely decision-making for S&amp;CC.Proliferation of Internet of Things (IoT) and availability of necessary communications infrastructure in S&amp;CC will create unforeseen opportunities to transform our society in many ways including electric vehicle based transportation; intelligent energy management; healthcare design and delivery; and more. From the data collection to data visualization and analytics, new discoveries will help in solving challenges of S&amp;CC that encompass key data science issues involving volume, variety, and velocity. Hundreds of thousands of heterogeneous devices in S&amp;CC will interconnect to cooperate and compete for the benefit of society. Managing such complex systems will be made easier through these new data science methodologies and developed skillsets for data scientists. The robust workforce and professional development programs that target a variety of constituencies ranging from undergraduate students to industry professionals will continue producing new generations of experts in data sciences. The community building activities will create a community of learners focused on future leaders of data science.</t>
  </si>
  <si>
    <t>1740833</t>
  </si>
  <si>
    <t xml:space="preserve"> Panel Summary       
  Description: Great team of PIs at Columbia covering Math, Stat, and TCS. The PIs propose to work on several key research areas. For non-convex optimization, they hope to understand both from a mathematical and a computational perspective, what makes the landscapes benign (i.e., computationally tractable). They want to further develop primitives such as streaming, sketching, and sub-linear algorithms for working with large data. They want to build a more general theory of humans interacting with machine learning algorithms, beyond active learning._x000D_
_x000D_
At Columbia there is a great environment for data science, with the data science institute, an existing Masters program in data science and a Ph.D. program that is going through the approval process. _x000D_
_x000D_
Center-building activities are reasonably described. _x000D_
_x000D_
Intellectual Merit: _x000D_
Strengths _x000D_
+ Convincing case that the concrete problem areas proposed add up to a good overall vision for the foundations of data science._x000D_
+ Great data science environment at Columbia with data science institute. TRIPODS Institute will add significant value by focusing on foundations._x000D_
+ Research team is very strong with PIs with great track records in data science. Good synergy between the three areas._x000D_
 _x000D_
Weaknesses _x000D_
- Lack of novel problem statements and approaches_x000D_
- Some panelists felt that the team had more representation in  theoretical computer science than in the other two areas._x000D_
_x000D_
_x000D_
Broader Impact: _x000D_
Strengths _x000D_
+ Plans for curricular development are impressive, with an existing Master's program in data science and a Ph.D. program progressing through the approval process._x000D_
+ Columbia's location will allow involvement of under-represented minority high school students from the `catchment area' of the university._x000D_
_x000D_
Weaknesses _x000D_
- Could have better connected to industry and better connected to application domain. _x000D_
_x000D_
_x000D_
TRIPODS-specific criteria:  _x000D_
Strengths _x000D_
+ Feels truly transdisciplinary. With the degree programs and the institute at Columbia, Data Science seems to  acquire the status of a department there._x000D_
+ Good (if somewhat standard) center-building activities - summer schools, long-term visitors, etc._x000D_
+ Phase II Institute at Columbia or with the participation of these PIs is likely to be very successful with a stimulating research agenda to attract top researchers to visit._x000D_
Weaknesses _x000D_
- Interaction with domain applications and industry is unspecified._x000D_
_x000D_
Collaboration and Evaluation Plan: Okay for collaboration, but not much thought given to evaluation._x000D_
_x000D_
Data Management Plan: Adequate._x000D_
_x000D_
Post-doctoral Mentoring Plan: Very good with interactions among post-docs and with PIs from multiple disciplines._x000D_
_x000D_
What is bold, exciting, high risk/reward, or potentially transformative? _x000D_
Great set of problems... if the research thrusts on non-convex optimization and on interaction in learning are successful, they will have a big impact on these important concepts._x000D_
_x000D_
Suggestions to PI: The proposal laudably says that practice will inform the development of the foundations of data science. Make this come true by actually picking 1 - 3 application domains and asking what common foundational issues arise in them._x000D_
_x000D_
Justification for Panel Rating: Compelling vision, great PIs, and great environment._x000D_
_x000D_
Panel Rating:_x000D_
X Highly Recommended _x000D_
_ Recommended _x000D_
_ Not Recommended _x000D_
_x000D_
The summary was read by/to the panel and the panel concurred that the summary accurately reflects the panel discussion._x000D_
 _x000D_
</t>
  </si>
  <si>
    <t>In recent decades, scientific and technological fields have experienced "data moments" as researchers recognized the potential of drawing new types of inferences by applying techniques from computational statistics and machine learning to ever-growing datasets. At the same time, everyday life is increasingly saturated with products of data analysis: search engines, recommendation systems, autonomous vehicles, etc. These developments raise fundamental methodological questions, including how to collect and pre- pare data for analysis, and how to transform statistical inferences into effective action and new statistical inquiries. To address these questions, it is necessary to develop theoretical foundations for the practice of data science, and to provide practitioners with sound and practically relevant methodological training. The Columbia TRIPODS Institute pursues these goals through an integrated program of research in data science foundations, curriculum development, and center-building activities. The research program seeks to provide theoretical understanding of practical heuristics, develop modular and well-structured toolkits of computational primitives for data science, and to support the entirety of the data science cycle, from data collection and annotation, to the assessment of the analysis product. _x000D_
_x000D_
The Institute pursues programs of research, education and center-building aimed at articulating theoretical foundations for data science. Its activities aim to have a major impact in shaping this emerging field. The research directions include understanding tractable classes of optimization problems, developing primitives that support efficient computation on data, and developing methodological foundations for interactive protocols in data science. These directions address challenging problems at the interface between theory and practice, the solutions of which require ideas spanning mathematics, statistics, and computing. The educational activities articulate model curricula in data science at the MS/professional and PhD levels, including interdisciplinary courses aimed at building a common language for a new generation of scientists and engineers. Center building activities are organized around cross-disciplinary themes and structured to encourage interaction across disciplines and to develop a common methodological community in Foundations of Data Science. These research and educational activities-including workshops, summer schools, distinguished lecture series, long-term visits, and outreach- help to further define and disseminate a common language for foundational research and education, and to increase diverse participation in data science. Located within the Center for Foundations of Data Science in the Data Science Institute at Columbia University, the Institute is at the center of the Northeast Big Data Hub. This position supports expansion of activities within Columbia, and also with other Big Data Hub members, TRIPODS Institutes, and research/industry organizations.  Funds for the project come from CISE Computing and Communications Foundations, CISE Information Technology Research, MPS Division of Mathematical Sciences, and MPS Office of Multidisciplinary Activities.</t>
  </si>
  <si>
    <t xml:space="preserve">Proposal ID: CCF 1740833_x000D_
PI: John N. Wright_x000D_
Co-PIs: Alexandr Andoni, David Blei, Qiang Du, Daniel J. Hsu_x000D_
Institution: Columbia University_x000D_
Title:  From Foundations to Practice of Data Science and Back_x000D_
_x000D_
Dear Professors Wright, Andoni, Blei, Du, and Hsu,_x000D_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July 13, 2017_x000D_
_x000D_
On behalf of the TRIPODS Management Team_x000D_
Nandini Kannan_x000D_
Tracy Kimbrel_x000D_
Jack Snoeyink_x000D_
Christopher Stark_x000D_
_x000D_
________________________________x000D_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G, E/V, and E/V respectively.  Based on the reviews and the panel deliberations, your proposal was placed in the Highly Recommended category.     _x000D_
_x000D_
Topic: This proposal, from Columbia University, seeks to create an institute with the goal of developing "fundamental methodological principles to support the practice of data science."  _x000D_
_x000D_
The proposed research topics include (1) Nonconvex Optimization, (2) Primitives for Efficient Computation, and (3) Interactive protocols in learning.  Center-like activities for Phase I include annual workshops, a distinguished lecture series, medium-to-long-term visitors, development of a Ph.D. program in the Foundations of Data Science, and co-mentoring of graduate students and postdoctoral fellows.  This project will leverage existing data science activities at Columbia, including the Data Science Institute (DSI) and its' associated centers and working groups. _x000D_
_x000D_
Intellectual Merit: The reviewers and panel agreed that the research was well-motivated and addressed many challenging research questions focused on the theoretical foundations of data science.  However, one reviewer gave the proposal a rating of Good, noting that the novelty of the research could have been better articulated.  _x000D_
_x000D_
The team includes investigators with excellent research records in the foundations of data science and an established track record of training and mentoring.  Some panelists felt that the team would benefit from having more representation from Mathematics and Statistics.  The connections to domain scientists and industry were tenuous, and reviewers would have liked to see some examples of concrete collaborations.  _x000D_
_x000D_
The panel viewed the topics related to non-convex optimization and interaction in learning as having the potential for high impact, and appreciated the leveraging of existing data science related infrastructure at Columbia._x000D_
_x000D_
Broader Impacts:  The proposal lays out a detailed plan for cross-disciplinary training of graduate students and postdoctoral fellows.  Curricular innovations include the development of the Foundations Track for the MS in Data Science, and new Foundations of Data Science courses._x000D_
_x000D_
The panel appreciated the attention to broadening participation and diversity, including partnerships with the Engineering Exploration Experience to create interactive workshops for female high-school students, and mentoring summer high school students as part of Columbia's ENG (Engineering the Next Generation) program._x000D_
_x000D_
TRIPODS-Specific Criteria:  _x000D_
_x000D_
Reviewers agreed that the proposal presented a well-integrated research and training program and the synergy between the different groups was well-articulated.    _x000D_
_x000D_
The panel would have liked to see more attention paid to evaluation of the different activities.      The proposal listed a number of center-like activities for Phase I and a well-developed plan for a potential Phase II institute at Columbia.  The panel agreed that the project presented a compelling vision for data science and noted that the TRIPODS Institute would "add significant value" to the existing environment at Columbia by "focusing on foundations."_x000D_
_x000D_
Summary and Rationale for Recommendation:  The TRIPODS Management Team agreed that the intellectual merit and broader impacts of the project were excellent.  The research addressed significant foundational data science challenges, with a well-integrated training program.  Given the existing initiatives and infrastructure at Columbia,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</si>
  <si>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The proposal brings together an outstanding team of PIs covering the 3 areas. The PIs propose to develop the 'foundational infrastructure' for data science: The main tasks they undertake are: 1) a geometric/mathematical understanding of the types of non-convex objective functions, data models, and 'variational' composition rules for which the optimization landscape is 'benign'. 2) Further development of techniques such as sublinear algorithms, sketching and streaming algorithms, good data representations, for producing approximate solutions, and 3) a foundational view of human-algorithm interactions in machine learning that goes beyond particular approaches such as active learning._x000D_
_x000D_
The questions are well-motivated and there is reason to believe that good progress can be made at the moment on them. The PIs are eminently qualified to make this progress._x000D_
_x000D_
The existing structure and collaborations at Columbia are ideal for this institute to thrive. If anything the quality of the support only raises the question: Would this research happen anyway without this proposal being funded? I think the answer is 'no' and this proposal would aid the exploration of theoretical questions that might not otherwise be explored._x000D_
_x000D_
This proposal does an excellent job of identifying specific problems and the roles of the 3 disciplines in them. While Mathematics is represented in the PI team by Qiang Du, it could be argued that he is really a computer scientist in a math department. If we accept this, mathematics is not as strongly included in the team as the other two disciplines. The interaction and synergy will be largely between TCS and Statistics. _x000D_
_x000D_
The proposal does a great job on center-building activities ... with expertise among the PIs in serving on advisory boards of other centers, summer schools, long programs, visitors, etc._x000D_
_x000D_
There seems to be good synergy between the PIs in working together to evolve a common terminology. Partly because the PIs already have overlapping areas of expertise. _x000D_
_x000D_
In principle, this project is 'application aware'! One of the driving goals is 'Foundations from practice' and the PIs mention the need for collaboration with domain experts in many places. But no specific application is the target of this project... and this is probably as it should be. _x000D_
_x000D_
There are no plans described for industry collaboration. _x000D_
_x000D_
The development plans for unifying curricular development are top-notch. _x000D_
_x000D_
No mention is made of fairness, privacy, provenance, etc, or of dynamic aspects of data. _x000D_
_x000D_
_x000D_
_x000D_
In the context of the five review elements, please _x000D_
evaluate the strengths and weaknesses of the proposal with respect to broader impacts._x000D_
_x000D_
The education component of this proposal is impressive. A Masters and a nascent Ph.D. program in data science will involve a lot of curriculum development and various subsets of the PIs are developing exciting new courses bridging the 3 areas. The model of having each Ph.D. student have two mentors, from two of the three areas - TCS, Math, Stat - seems very conducive to fostering interactions._x000D_
_x000D_
The location of Columbia near Harlem is cited by the PIs as an opportunity to broaden participation, and the Institute will participate in Columbia Engineerng's existing outreach to high schools in the vicinity. Interaction with the Teachers College can also help develop teachers with the skills needed to engage students in their schools in data science._x000D_
_x000D_
Please evaluate the strengths and _x000D_
weaknesses of the proposal with respect to any additional solicitation-specific review criteria, if _x000D_
applicable_x000D_
_x000D_
Yes, the proposal describes a well-integrated research and training program focused on theoretical foundations of data science. Collaborations are particularly strong between theoretical computer science and statistics, although the topic of non-convex optimization could be said to be in applied math as well. The proposal does address the broad themes of the program very well._x000D_
The education plan, the new Ph.D. program, the existing Masters program, the collaboration with Teachers College are all great for workforce development and involve novel educational and training activities. _x000D_
_x000D_
Yes, the project is transdisciplinary and there is a compelling vision of data science. The PIS do represent somewhat complementary expertise, albeit, perhaps in a narrower range than envisioned for the TRIPODS program._x000D_
_x000D_
The budget and scope of the proposed research seem reasonable._x000D_
The evaluation plan is unsurprising. _x000D_
_x000D_
Plans to scale up to Phase II seem very good... with summer schools, short and long-term visitors, distinguished speakers and the like. There is a question of redundancy, since there is already a big Institute of Data Science at Columbia... even if the TRIPODS Phase II institute would focus on more theoretical directions._x000D_
_x000D_
Summary Statement_x000D_
_x000D_
A very good to excellent proposal bringing together a great team. The PIs do a great job of connecting the large issues facing data science to slightly more specific research directions to motivate the importance of these directions. The plans for a data science Ph.D. program, and existing Masters program are incredibly synergistic._x000D_
_x000D_
</t>
  </si>
  <si>
    <t xml:space="preserve">In the context of the five review elements, please _x000D_
evaluate the strengths and weaknesses of the proposal with respect to intellectual merit._x000D_
_x000D_
+The research themes are general  interesting. _x000D_
_x000D_
-lack of novel  and concrete solutions to proposed problems_x000D_
_x000D_
In the context of the five review elements, please _x000D_
evaluate the strengths and weaknesses of the proposal with respect to broader impacts._x000D_
_x000D_
+the education plan is somewhat comprehensive and is likely to have large impact on a large group of people ranging from undergraduate students, master and ph.d students to advanced researchers in data science._x000D_
_x000D_
_x000D_
_x000D_
Please evaluate the strengths and _x000D_
weaknesses of the proposal with respect to any additional solicitation-specific review criteria, if _x000D_
applicable_x000D_
_x000D_
_x000D_
_x000D_
Summary Statement_x000D_
_x000D_
This proposal proposes to establish a TRIPODS institute at Columbia for developing fundamental methodological principles to support the practice of data science. The proposed research focuses on non-convex optimization, primitives for computations and an interactive framework for learning. While the general themes of the research are interesting and important,  the research part of the proposal(especially the second and third theme of the proposed research) is not very well-written nor well-organized, in particular the description of the proposed research clearly lacks focus. The PIs mention a lots of different concepts and  ideas within each research topic, but fails to convey what is the new research that has been proposed here. The education part of the proposal is much better, which includes training plans for undergraduates students, master students and Ph.D students. In particular, new a foundational track for master is proposed, and Ph.D in data science is pending approval, and there are clear plans for course developments. In addition, workshops, summer schools, short/long visits have also been included in the training plan to disseminate the research.  Some of the other strengths and weaknesses  are summarized below._x000D_
_x000D_
Strengths_x000D_
+Columbia has already got a quite interdisciplinary environment within the Data Science Institute (DSI) which I believe is very good for the building of the TRIPODS institute which will be located within the Center for Foundations of Data Sciences within the DSI._x000D_
_x000D_
-The described research for the second and third themes is relatively weak. There is no substantially new foundational theory that has been proposed._x000D_
_x000D_
-Most of the PIs are from CS with one PI  from applied mathematics, there seems to be lacking of synergistic connections from statistics. It would ideal to have some stat person in the group (e.g., involve a stat person with expertise in theory for example) which would be important in proving theoretical guarantee for any algorithms/models proposed in the research._x000D_
_x000D_
</t>
  </si>
  <si>
    <t xml:space="preserve">In the context of the five review elements, please _x000D_
evaluate the strengths and weaknesses of the proposal with respect to intellectual merit._x000D_
_x000D_
This proposal aims to establishing an institute for developing fundamental methodological principles to support the practice of data science. The institute will pursue interdisciplinary research, educational training, and center-building activities (such as workshops and summer schools) that bridge mathematics, statistics, and computer science. _x000D_
_x000D_
Strengths: _x000D_
_x000D_
1.  The research team is very strong and has complementary expertise in all three areas.  _x000D_
_x000D_
2. The  proposal targets three important research topics, a) understanding the success of non-convex optimization, b) primitives for efficient computation, c) iterative protocols in learning, which have clear roles for mathematics, theoretical computer science, and statistics. The proposed research is quite novel, which could provide the urgently needed foundations  and thus have a major impact on the emerging field of data science.  _x000D_
_x000D_
3. The proposed institute will locate in the Center for Foundations of Data Science in the Data Science Institute at Columbia University, which already has some educational programs related to Data Science. The proposed educational training and center-building activities could greatly enhance existing programs, and accelerate the dissemination of obtained theoretical discovery to the data science research community and industry.  _x000D_
_x000D_
4. The proposal has a clear plan for the interaction and synergy for participants from the 3 communities._x000D_
_x000D_
5. The proposal has good plans for developing common terminologies and concepts (through building transdiciplinary foundations), conducting application-aware foundational research, unifying curricula, reproducibility, and dynamic aspects of data._x000D_
_x000D_
Weaknesses: _x000D_
_x000D_
No obvious weakness has been identified._x000D_
_x000D_
In the context of the five review elements, please _x000D_
evaluate the strengths and weaknesses of the proposal with respect to broader impacts._x000D_
_x000D_
Strengths:_x000D_
_x000D_
1. If successful, the developed theoretical foundations will have a broad impact on many disciplines, such as natural sciences and engineering, health, and social science. _x000D_
_x000D_
2. The proposed educational plan will develop curriculum for research and practice in data science, and train the next generation of researchers and engineers._x000D_
_x000D_
3. The proposed center-building activities (such as workshops and summer schools) will help   to define a common language for foundational research in data science. _x000D_
_x000D_
4. The proposed institute will also provide a number of outreach activities, such as women-in-science events, hackathons, research experience for high school students, with an emphasis on women and underrepresented groups.  _x000D_
_x000D_
Weakness:_x000D_
_x000D_
No weak has been identified._x000D_
_x000D_
Please evaluate the strengths and _x000D_
weaknesses of the proposal with respect to any additional solicitation-specific review criteria, if _x000D_
applicable_x000D_
_x000D_
Strengths:_x000D_
_x000D_
1. The proposal has a well-integrated research and training program focused on theoretical foundations of data science and fostering collaboration and interaction among the 3 communities of TRIPODS. _x000D_
_x000D_
2. The proposal has adequately addressed the broad themes of the program._x000D_
_x000D_
3. The proposal has clear plan for workforce development. _x000D_
_x000D_
4. The project is transdisciplinary and requires theories and approaches from all three areas. _x000D_
_x000D_
5. The proposal does an excellent job in providing a vision for the foundations of data science._x000D_
_x000D_
6. The research team is outstanding and has complementary expertise which is well-suited for the proposed research and training programs. _x000D_
_x000D_
7. The proposal has a good plan for future Phase II operations._x000D_
_x000D_
8. The Collaboration and Evaluation plan has  clear measures of success. _x000D_
_x000D_
Weakness:_x000D_
_x000D_
The communication and interaction with the data science and industry need to be better addressed._x000D_
_x000D_
Summary Statement_x000D_
_x000D_
This proposal aims to establish an institute to develop theoretical foundations to support the practice of data science and provide data scientists with methodological training. This is a very well-thought proposal. The targeted research topics are all very important and could have profound impact to the field of data science. The PIs have excellent track records in conducting such types of research._x000D_
_x000D_
</t>
  </si>
  <si>
    <t>As data-driven methods move from proof-of-concept to basic technology, it is becoming increasingly important to develop *theoretical foundations to support the practice of data science* and to provide data scientists with *methodological training* that is both sound and practically relevant. Our TRIPODS institute will pursue this goal through an integrated program of research in foundations of data science, curriculum development, and center building activities such as workshops, summer schools, distinguished lecture series and long-term visits. Our research program is centered around the notion of providing theoretical foundations to support practice, by providing theoretical understanding of practical heuristics, by developing modular and well-structured toolkits of modeling and computational primitives, and by supporting the entirety of the data science cycle, from data collection and annotation, to analysis and assessment of the analysis product. Specific Phase I research directions include understanding tractable classes of nonconvex optimization problems, developing primitives that support efficient computation on data, and developing methodological foundations for interactive protocols in data science. Located within the Center for Foundations of Data Science in the Data Science Institute at Columbia University, our Institute will be at the center of the Northeast Big Data Hub. This robust effort in applied data science will provide a perfect context and environment for deriving methodological principles and curricula which support practice.The Institute will pursue programs of research, education and center building aimed at articulating theoretical foundations for data science. Its activities will have a major impact in shaping this emerging field. Specific Phase I research thrusts aim at challenging problems at the interface between theory and practice, the solution of which requires ideas spanning mathematics, statistics and computing. Overarching themes include the development of foundations from and for practice, the development of general methodological toolkits (rather than isolated specific results), and elucidating the role and structure of human interaction in the data science cycle. The Institute's educational activities will articulate model curricula in data science at the MS/professional and PhD level, including innovative interdisciplinary courses aimed at building a common language. Center activities will be organized around cross-disciplinary themes, and structured to encourage interaction across disciplines and the development of a common methodological community in Foundations of Data Science.The development of theoretical foundations to support the practice of data science will have broad scientific impact, across disciplines ranging from the natural sciences and engineering, to health, to social sciences. The Institute's education activities will result in model curricula for research and professional training in data science, helping to train the next generation of scientists and engineers. Institute activities such as workshops and summer schools will help to further define and disseminate a common language for foundational research in data science. The institute will support outreach activities, including workshops at women-in-science events, hackathons, and summer high school student research experiences. These events will specifically target women and underpriviledged minority students from the greater New York area. To perform outreach more broadly, the PIs will partner with Columbia SEAS outreach office and Columbia Technology Ventures to develop online K-12 outreach modules, which teach basic ideas in data-oriented thinking, and help participants to appreciate the power of math, statistics and computing in interacting with data.</t>
  </si>
  <si>
    <t>1740834</t>
  </si>
  <si>
    <t>Mischaikow</t>
  </si>
  <si>
    <t>9</t>
  </si>
  <si>
    <t xml:space="preserve"> Panel Summary       
  _x000D_
Summary:_x000D_
_x000D_
The PIs  propose a Institute for Theoretical Advancements in Data Science (ITADS) at Rutgers focusing on the development of the theoretical foundations of data science. Their research activities are mainly described through proposing to run Themed Semesters. Each themed semester includes two major workshops and a long-term visitor program. Some of the topics for these themed semesters include Geometric Analysis of Data; Sublinear Computational Theory of Data Science; Analysis of Heterogeneous Data; Data Analysis and Inverse Problems and so on. In addition, there will be Micromeetings; Colloquia, Seminars, and Tutorials addressing to different groups of audience._x000D_
_x000D_
_x000D_
Intellectual Merit:_x000D_
_x000D_
Strengths _x000D_
_x000D_
+This proposal is  great in outlining a very compelling structure for a research environment - in fact the programs they list seem to provide excellent coverage of the field of data science. _x000D_
_x000D_
+Rutgers through DIMACS has great experience in outreach and education efforts and ITADS has a great plan to continue in this vein. One of the PIs, Rebecca Wright, as Director of DIMACS has a great deal of personal experience in these matters. _x000D_
_x000D_
_x000D_
_x000D_
Weaknesses _x000D_
_x000D_
-Not enough has been discussed about the research itself.  Basically, the proposal did not identify specific research problems._x000D_
_x000D_
-The proposal does not seem to present enough synergies between CS, statistics and applied math._x000D_
_x000D_
_x000D_
_x000D_
Broader Impact:_x000D_
_x000D_
Strengths _x000D_
_x000D_
+Very detailed and well thought-out education plan. The PIs have done a lot planning working by confirming with the speakers for each themed semester._x000D_
_x000D_
+ The proposal is very structural, it definitely did a good job of identifying novel center-like activities and has a good and more detailed implementation plan than most others. _x000D_
_x000D_
_x000D_
_x000D_
Weaknesses _x000D_
_x000D_
_x000D_
- No significant industry involvement is envisioned. _x000D_
-  Relatively weak evaluation plan. _x000D_
-No postdocs or graduate students were trained or mentored working on these specific research topics. _x000D_
_x000D_
_x000D_
TRIPODS-specific criteria: _x000D_
Strengths _x000D_
_x000D_
+The proposal is ideally set up to continue to Phase II. _x000D_
_x000D_
Weaknesses _x000D_
_x000D_
-There is some interaction between the Math, CS, and Stat components. But it is not clear if the integration will happen at ground level when individual workshops are held and there is nor budget for individual students and post-docs working on the research problems which is a serious concern. _x000D_
_x000D_
-- Workshop topics are confined to one discipline, making it difficult to achieve synergy among three TRIPODS areas._x000D_
_x000D_
Collaboration and Evaluation Plan: A detailed collaboration plan but brief evaluation plan. _x000D_
_x000D_
Data Management Plan: adequate._x000D_
_x000D_
_x000D_
Justification for Panel Rating:  This is overall a well-planned, well-thought out program with a nice organizational structure. It is relatively weak on the research side in the sense that no specific research questions are proposed, and no postdocs or students are trained or mentored to work on research projects. _x000D_
_x000D_
Panel Rating: Recommended 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</si>
  <si>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Institute for Theoretical Advancements in Data Science (ITADS)_x000D_
_x000D_
L: 1740834 Mischaikow, Konstantin Rutgers Univ New Brunswick $ 1,499,998_x000D_
_x000D_
_x000D_
P172027 R TRIPODS Panel 1, Recommended (V/G,V/G,V/G)_x000D_
Std competition rank 9 of 30 rated projects: 2 HR, 8 R, 11 NR, 9 NDP, on 5/17/2017_x000D_
_x000D_
_x000D_
PROJECT OVERVIEW_x000D_
This is a proposal to build an Institute for Theoretical Advancements in Data Science (ITADS) at Rutgers focusing on the development of the theoretical foundations of data science.   Research themes are proposed as _x000D_
themed semester, each with two major workshops and a long-term visitor program. Example topics: Geometric Analysis of Data; Sublinear Computational Theory; Analysis of Heterogeneous Data; Data Analysis and Inverse Problems.   They also propose Micromeetings; Colloquia, Seminars, and Tutorials addressing to different groups._x000D_
_x000D_
INTELLECTUAL MERIT DIMACs has great experience with organizing institute activities, and this shows in the detailed plans.  Specific research, and how it would help establish the foundations of data science, is not detailed. One panelist commented that even the proposed topics were in silos, and not mixing; another agreed and said they didn't see where all three disciplines would meet._x000D_
_x000D_
BROADER IMPACTS Very detailed and well thought-out education plan for the themed semesters. (The project team even confirmed organizers for each themed semester.)  The proposal does go into detail on student training.  It also does not indicate significant industrial participation.  The evaluation of the broader impacts was considered weak _x000D_
_x000D_
_x000D_
REVIEW SUMMARY All reviews were V/G, and were consistent.  As one said, " Some proposals in this program seem to focus on the structure of the research environment they will create and_x000D_
others on the actual research that would happen. This proposal is really great in outlining a very compelling structure - in fact the programs they list seem to provide excellent coverage of the field of data science. ... But I think the PIs would have done well not just to describe meetings and provide visitor lists, but also to say something about the research that would be performed by them."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(particularly, other institute-focused proposals that were rated more highly),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_x000C__x000D_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</si>
  <si>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Some proposals in this program seem to focus on the structure of the research environment they will create and others on the actual research that would happen. This proposal is really great in outlining a very compelling structure - in fact the programs they list seem to provide excellent coverage of the field of data science. Specifically the PIs seek to explore the following topics in semester-long programs: Geometric Analysis of Data (with subtopics in Topological data analysis and manifold learning), sublinear computational theory of data science, analysis of heterogeneous data, and data analysis and inverse problems. _x000D_
_x000D_
But I think the PIs would have done well not just to describe meetings and provide visitor lists, but also to say something about the research that would be performed by them. _x000D_
_x000D_
So the proposal did not identify specific research problems (at least at the level of specificity I would have liked). It did clearly describe the role of Mathematics, TCS, and Statistics in the programs._x000D_
_x000D_
Because the proposal is very structural, it definitely did a good job of identifying novel center-like activities and has a good and more detailed implementation plan than most others._x000D_
_x000D_
I could not judge the level of synergy between the three communities here - while the semester-long programs seemed to embrace multiple communities, the specific workshops in these programs seemed to lie within one of the 3 disciplines. _x000D_
_x000D_
The project might develop common terminologies. It will definitely have an application-aware component. No significant industry involvement is envisaged. I was underwhelmed by the level of detail provided in the education plan for specific courses and whole curricula for the certificate program in data science. Interestingly the PIs seem to anticipate the creation of a department of data science. No specific mentions of end-to-end provenance and privacy and fairness issues, or about dynamic aspects of data._x000D_
_x000D_
In the context of the five review elements, please _x000D_
evaluate the strengths and weaknesses of the proposal with respect to broader impacts._x000D_
_x000D_
Rutgers through DIMACS has great experience in outreach and education efforts and ITADS has a great plan to continue in this vein. One of the PIs, Rebecca Wright, as Director of DIMACS has a great deal of personal experience in these matters._x000D_
_x000D_
Please evaluate the strengths and _x000D_
weaknesses of the proposal with respect to any additional solicitation-specific review criteria, if _x000D_
applicable_x000D_
_x000D_
The proposal is ideally set up to continue to Phase II. There is good interaction between the Math, CS, and Stat components. But as I said in the intellectual merits section, it is not clear if the integration will happen at ground level when individual workshops are held and individual students and post-docs are mentored._x000D_
_x000D_
The proposal does address the broad themes of the program._x000D_
It does present a detailed plan for novel ideas for workforce development._x000D_
_x000D_
I am not convinced that this project will result in a transdisciplinary foundation for data science, since I did not see too many activities that different disciplines would do together._x000D_
_x000D_
One could produce a compelling vision for the foundations of data science from the topics and descriptions of the semester-long programs._x000D_
_x000D_
Summary Statement_x000D_
_x000D_
Overall a well-thought out and well-integrated proposal._x000D_
_x000D_
</t>
  </si>
  <si>
    <t xml:space="preserve">In the context of the five review elements, please _x000D_
evaluate the strengths and weaknesses of the proposal with respect to intellectual merit._x000D_
_x000D_
+propose themed semesters with a goal of focusing on the foundational issues of data science, through bringing together topic researchers in each field_x000D_
_x000D_
+Other forms of interaction such as Micromeeitng are proposed focusing on charting new directions of research _x000D_
_x000D_
-Concerns on the novelty of the institute which has similar models as many others such as Samsi and MSRI etc_x000D_
_x000D_
In the context of the five review elements, please _x000D_
evaluate the strengths and weaknesses of the proposal with respect to broader impacts._x000D_
_x000D_
+If motivation and necessity is justified, this type form of institute can potentially reach to a large group of researchers from advanced to junior levels _x000D_
_x000D_
-no postdocs or graduate students are specifically trained by working with the PIs on the research topics, although graduate students can apparently benefit from the program by attending workshops, colloquiums, tutorials etc._x000D_
_x000D_
Please evaluate the strengths and _x000D_
weaknesses of the proposal with respect to any additional solicitation-specific review criteria, if _x000D_
applicable_x000D_
_x000D_
_x000D_
_x000D_
Summary Statement_x000D_
_x000D_
The PIS of the propose a Institute for Theoretical Advancements in Data Science (ITADS)  at Rutgers focusing on the development of the theoretical foundations of data science. Their research activities are mainly described through proposing to run these Themed Semesters. Each themed semester includes two major workshops and a long-term visitor program.  Some the topics for these themes semesters include  Geometric Analysis of Data;  Sublinear Computational Theory of Data Science; Analysis of Heterogeneous Data; Data Analysis and Inverse Problems  and so on.  In addition, there will be Micromeetings; Colloquia, Seminars, and Tutorials address to different groups of audience.  The proposal seems to be after the model of SAMSI except that Samsi runs year-long programs instead of semester-long ones and their research themes can be more general beyond the foundation of data science. In fact, some of the themes that are proposed here have been already run by SAMSI before, e.g., the Geometric Data of Data (see the 2013 academic year program of SAMSI: lower-dimensional system in high-dimensional data). _x000D_
While I think Samsi  (also other institutes like MRSI, ICERM) run very successful programs which have contributed a lot to the research communities, the question here be really on the necessity of such a center at Rutgers, e.g., on what is new that one can achieve by running such an  institute at Rutgers which is very similar to many other ones in the country which might have overlapping research themes with what are proposed here. Another concern is on the research themes themselves.  While these research topics are important with active ongoing research in each of area, what is the new foundation  theory  or vision that has been proposed here?  Given this particular model of the institute, e.g., by gathering and attaching researchers from the country for each research theme and trying to foster research advancement though  collaborations etc, another question would be on what is the vision for the Phase II of the institute. Would one just run more themed semesters?_x000D_
_x000D_
Other strengths and weaknesses_x000D_
_x000D_
-motivation and necessary for running such as institute which is also a similar model as other institutes like SAMSI, ICErms, MSRI in the country; also novelty of the institute is potentially in question. _x000D_
-concerns on the research themes proposed _x000D_
_does not involve postdocs or graduate students in research since the research components are somewhat æeducational' in the sense that the research is done through conferences, meetings and workshops _x000D_
_x000D_
_x000D_
</t>
  </si>
  <si>
    <t xml:space="preserve">In the context of the five review elements, please _x000D_
evaluate the strengths and weaknesses of the proposal with respect to intellectual merit._x000D_
_x000D_
The proposal from Rutgers plans to create an institute called ITADS, to build a principled theory for data science. To quote the PIs, "...some areas have duplicative work, and some absence of any... "; the PIs may a good case for a cross-disciplinary effort towards such an institute (though this is true for other institutes as well). _x000D_
_x000D_
+ The institute will conduct semester-long programs on clear topics. _x000D_
The topics include Geometric Analysis of Data, Sparse Representation of Data, Analysis of Heterogenous data and Inverse problems. Each of these topics seems well thought out and their description cover different aspects of the areas well.  _x000D_
_x000D_
+ The plan for the institute seems well thought out -- broadly, their model is similar to the Simons institute in Berkeley. They also propose micromeetings, which are short workshops or series of meetings on a slightly less developed theme. They have in fact already identified topics for micromeetings as well. _x000D_
_x000D_
+ They seem to be leveraging the expertise of DIMACS w.r.t. administering and directing a large institute. This institute is also likely to scale up to the large scale institute in Phase 2. _x000D_
_x000D_
- While the descriptions of the different topics give a good high-level description of the work done in different communities, the proposal does not say provide clear directions for progress. They mainly suggest that since this has been looked at in different communities, there is good scope for merging concepts and techniques.  Clear questions/ directions would also indicate why they chose these particular topics for the programs. _x000D_
_x000D_
- While the PIs are senior and well-established, except PI Muthukrishnan, most of the PIs seem to do more applied/ empirical work, and less on theoretical problems related to data science/ ML.  _x000D_
_x000D_
_x000D_
_x000D_
In the context of the five review elements, please _x000D_
evaluate the strengths and weaknesses of the proposal with respect to broader impacts._x000D_
_x000D_
The broader impacts portion seems fairly standard, and somewhat weak compared to other proposals._x000D_
_x000D_
Please evaluate the strengths and _x000D_
weaknesses of the proposal with respect to any additional solicitation-specific review criteria, if _x000D_
applicable_x000D_
_x000D_
+ The proposal is likely to scale up well to Phase 2 operations._x000D_
+ The PIs come from CS, Math and Statistics, and the goals of the proposal seem to be genuinely to bring together people from multiple communities.  _x000D_
+ The proposal includes a clear collaboration plan and a short evaluation plan (involving surveys). _x000D_
_x000D_
- There doesn't seem to be much collaboration between CS and Math/Stats in the programs outlined here. While the sublinear computation program seems to primarily TCS focused, the other topics like Analysis of Heterogenous Data/ Inverse problems seem primarily statistical/ mathematical. _x000D_
_x000D_
_x000D_
_x000D_
Summary Statement_x000D_
_x000D_
The PIs present a good proposal for an institute that should scale up well to phase 2 operations. The institute in phase 1 will consist of semester-long programs on clear topics, and have micro-meetings and workshops as well. While the topics are spread between math, CS and stats, I feel the topics are less likely to be transformative w.r.t. theoretical foundations of data science (except for the sublinear algorithms component)._x000D_
_x000D_
</t>
  </si>
  <si>
    <t>PIs propose a TRIPODS institute, the Institute for Theoretical Advancements in Data Science (ITADS) with the goal of fostering the development of the theoretical foundations of data science.  In Phase I  ITADS will focus on heightening awareness of the challenges associated with modern data, facilitating communication across the broad spectrum of investigators and users of data, and developing foundational research collaborations between Mathematicians, Computer Scientists, Statisticians, and Engineers.  In addition, ITADS will begin the development of a trans-disciplinary curriculum for theoretical data science and develop the infrastructure and diverse community needs to scale up to a Phase 2 institute.  Our project team includes mathematicians, statisticians, computer scientists and engineers with a history of multidisciplinary collaboration in the area of data.  Furthermore, through DIMACS, the Center for Discrete Mathematics and Theoretical Computer Science, the PIs have considerable experience in leading large, complex, community-building projects that involve the core academic disciplines as well as close functioning ties with companies that are leaders in dealing with modern industrial data challenges.The scientific efforts of the institute will involve major topics that are the organizing center of semester long activities and smaller scale focused research projects centered around micromeetings. The themes for the first four semester topics will be Geometric Analysis of Data; Sparse Representation of Data; Analysis of Heterogeneous Data; and Data Analysis and Inverse problems. These topics address fundamental questions associated with large modern data: how to represent the complex structure of data, how to represent data succinctly and efficiently, and how to support sophisticated analyses of data.  The programs will be designed to engage participants from statistics, computer science, and mathematics, as well as other appropriate disciplines.  Each semester will include two technical workshops to build community and advance a research agenda in the focus topic.  Within each semester, one workshop will be focused on foundations, seeking to bring together the mathematicians, statisticians, and theoretical computer scientists who are actively seeking to advance the theoretical principles of data science, and one workshop will be focused on the interaction between foundations and applications, bringing together relevant data practitioners and theoreticians in order to ensure that the theory both informs and is informed by practice.  The micromeetings serve a complementary purpose of identifying and supporting small groups with novel challenges, methods and/or curricula.  ITADS will also support a lecture series consisting of colloquia, seminar, and tutorial lectures that will act in conjunction with and complementary to these research efforts to widely communicate the developments in data science.The project will enable both foundational advances in data science and practical advances in its accuracy, usability, security, flexibility, and efficiency. These advances have the ability to positively impact society across a range of fields. Participants will be diverse across a variety of dimensions, including women and other under-represented groups; a mix of junior and senior participants; and both industry and academic participants. This benefits the program through the diversity of opinions, experiences, ideas, and expertise, while also advancing the important goal of involving more women and under-represented minorities in STEM fields. The ITADS lecture series will be streamed and recorded for use as a long-lasting resource by a broad community.</t>
  </si>
  <si>
    <t>1740835</t>
  </si>
  <si>
    <t>Orecchia</t>
  </si>
  <si>
    <t xml:space="preserve"> Panel Summary       
 Description: This proposal focuses on the establishment of a new (TRIPODS) institute to sit within the Hariri Institute at Boston University.  The research focus is on network theory with applications in bioinformatics, neuroscience, social and communication networks, and multi-agent robotic systems.  The proposal also includes plans for curriculum development, workforce training, and application-aware research._x000D_
_x000D_
Intellectual Merit: _x000D_
The PIs have strong backgrounds and a list of proposed projects in network theory that include transdisciplinary collaboration.  Panelists felt that the research focus on the specified problems in network theory was too narrow, that there was too little proposed in new research approaches, and that the project activities were generic (see Reviews). Some panelists felt that the plan for intensive 2-month summer research and training programs was an interesting and good idea while another panelist was concerned that these programs would be too short for accomplishing longer term goals._x000D_
_x000D_
Broader Impact: _x000D_
The plan to establish the institute within an existing institute in order to take advantage of existing resources is a strength as is the focus on teaching communication skills, paying attention to policy making, and offering support for co-teaching.   Plans for fostering connections to industry partners through short workshops were good, but could be stronger._x000D_
_x000D_
TRIPODS-specific criteria:  The PIs represent the core disciplines, have a history of collaborations, and have the backgrounds necessary for the proposed work.  The Collaboration Plan would have benefited from more detail and one panelist commented, and others agreed, that it would have been nice to see more proposed collaborations that were independent of the main PI (Orecchia).  As previously stated, this proposal includes good plans for transdisciplinary curriculum development and training.  The plan for an external review panel from other TRIPODS institutes was praised by the panel as a nice idea for assessment._x000D_
_x000D_
Collaboration and Evaluation Plan:_x000D_
The Collaboration and Evaluation Plan could be improved (see comments above) and the plan for an external review panel is a strength._x000D_
_x000D_
Data Management Plan:_x000D_
The Data Management Plan is good._x000D_
_x000D_
Suggestions to the PI:  _x000D_
The panel recommends broadening the proposed research topics and developing a research collaboration plan that would scale more naturally to a larger number of participants._x000D_
_x000D_
Justification for Panel Rating:_x000D_
After extensive discussion, the proposed research program was seen as too narrow and not sufficiently novel for the TRIPODS program._x000D_
_x000D_
Panel Rating:_x000D_
Not Recommended_x000D_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</si>
  <si>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proposal could be summarized as follows:_x000D_
_x000D_
- We (the PIs) know a lot about graphs._x000D_
- Graphs are everywhere in Data Science._x000D_
- So, each summer, we will organize a school in which people will learn about graphs in the context of Data Science._x000D_
_x000D_
The obvious problem with the above proposal is that one can replace graphs with, say, matrices and have an equally valid proposal. More to the point, the proposal hardly proposes any new research! Instead, it reads like a long list of how graphs are a useful tool in talking about data. The closest the proposal comes to describing work that spans all 3 relevant communities is in describing the research of PI Saligrama on Information-Theoretic Foundations for Combinatorial Inference. But this is only a fraction of the proposal and not enough to carry the weight of a full-blown Tripods proposal._x000D_
_x000D_
_x000D_
_x000D_
In the context of the five review elements, please _x000D_
evaluate the strengths and weaknesses of the proposal with respect to broader impacts._x000D_
_x000D_
I find the idea of a summer school devoted to "graph-theoretical foundations of data science" rather misguided. For example, observe that graphs (in the sense employed in TCS and in this proposal) have had little to do with the recent data-driven major breakthroughs in computer vision and speech. As a result, the proposal's nearly-exclusive focus on graphs makes it hard to justify in the Tripods context, e.g.,  for statisticians graphs are far from a central object. At the same time, the other bits of proposed research, while perfectly good scientifically, are about optimization in graphs, only tangentially relevant to Data Science._x000D_
_x000D_
_x000D_
_x000D_
_x000D_
_x000D_
Please evaluate the strengths and _x000D_
weaknesses of the proposal with respect to any additional solicitation-specific review criteria, if _x000D_
applicable_x000D_
_x000D_
The proposal completely lacks vision. (Unless the vision is that data science should be based on graphsà) Also, the proposal has very few details/ideas about Phase II and the evaluation of Phase I._x000D_
_x000D_
Summary Statement_x000D_
_x000D_
This proposal was in the bottom half of the proposals I was assigned to review._x000D_
_x000D_
_x000D_
</t>
  </si>
  <si>
    <t xml:space="preserve">In the context of the five review elements, please _x000D_
evaluate the strengths and weaknesses of the proposal with respect to intellectual merit._x000D_
_x000D_
The primary research focus in Phase I is optimization and network analysis with applications in bioinformatics, neuroscience, social and communication networks, spatio-temporal geometric networks, and multi-agent robotic systems.  While graph theory/network analysis is clearly important to many data science applications, weaving specific applications and data sets into the research discussion would have strengthened the proposal.  The proposal also includes a strong plan for curriculum development and workforce training.  Unifying curricula and developing common terminologies and concepts through an emphasis on teaching communication skills and focusing on policy making are strengths of this proposal.  Application-aware foundational research and industry engagement are also featured in this proposal as is dynamic aspects of data.  End-to-end provenance, reproducibility, privacy, and fairness are not explicitly addressed although applications to privacy do appear in the research background of one of the co-PIs._x000D_
_x000D_
In the context of the five review elements, please _x000D_
evaluate the strengths and weaknesses of the proposal with respect to broader impacts._x000D_
_x000D_
The proposal outlines cohesive and far reaching plans for educational work and summer research and training programs.   This includes the stated goal to have the institute assume a policy-making role in determining best practices for education in data science, supported by the plan to develop ''communication-intensive'' courses placing equal weight on content and presentation skills.  The proposal includes funding to support curriculum development and co-teaching by faculty from different departments.  The goal is to incorporate this work into a new data science major that focuses on the theoretical foundations of data science rather than applications.  The overall approach to education and outreach to high school students and educators are strengths._x000D_
_x000D_
_x000D_
Please evaluate the strengths and _x000D_
weaknesses of the proposal with respect to any additional solicitation-specific review criteria, if _x000D_
applicable_x000D_
_x000D_
The proposal draws on previous work on developing the foundations of data science, emphasizes the development of communication across disciplines, and delivers a clear and well-thought-out vision.  The PI and co-PIs represent the three disciplines and have a history of collaborations.  The Collaboration Plan would have benefited from including more detail about the collaboration structure of the institute, including the management responsibilities of the PI and co-PIs.  One strength is that the Evaluation Plan includes forming an external review panel from other TRIPODS participants._x000D_
_x000D_
The proposal states the intention to locate the proposed institute within the existing Hariri Institute for Computing and Computational Science &amp; Engineering at BU in order to take advantage of existing resources and to elevate attention paid to the foundations of data science.  This is an interesting approach, worthy of consideration.  The proposal focuses primarily on the broad program themes of unifying curricula and, as a result of this focus and the expertise of the PIs, on developing common terminologies and concepts.  _x000D_
_x000D_
Outreach to other TRIPODS institutes is planned during Phase I and the proposal outlines a clear set of plans for building towards Phase II.  While outreach to industry researchers is planned during short (2-day) yearly or biyearly workshops, this may not be sufficient for fostering effective collaborations.  The minisymposia on TFoDS in Domain Sciences may achieve this goal of fostering collaborations with data experts, although is probably more focused on academics.  Including a more explicit plan for incorporating industry partners and data set/application area experts in the summer research program and tying specific motivating data sets to the outlined research projects would strengthen the proposal._x000D_
_x000D_
_x000D_
Summary Statement_x000D_
_x000D_
Incorporating the proposed TRIPODS institute into the Hariri Institute and a clear approach to supporting and developing the foundational theory and communication across disciplines are strengths of this proposal while the treatment of industry engagement and application-aware foundational research were weaker than in other proposal I reviewed, placing this proposal in the middle third._x000D_
_x000D_
</t>
  </si>
  <si>
    <t xml:space="preserve">In the context of the five review elements, please _x000D_
evaluate the strengths and weaknesses of the proposal with respect to intellectual merit._x000D_
_x000D_
This proposed TRIPODS program at Boston University (at least Phase I) will primarily be an intensive summer research program consisting of many workshops, with some long term visitors, and several junior fellows (PhD students, postdocs). This seems novel and is different from the rest of the proposals in my pile. On the other hand, it is not clear to me if 2-months of collaboration is productive for transformative advances. _x000D_
_x000D_
The focus of the institute will be on graph-theoretic aspects of data science (networks). The institute aims to bring in people people who work on information-theoretic/statistical aspects of combinatorial inference, along with graph optimization researchers from TCS, and mathematicians to explore connections between geometry (topology) and graphs. This focus on graph-theoretic aspects of data science ensures that researchers are more likely to interact and collaborate because of shared interests._x000D_
_x000D_
+ The team has considerable expertise in the theory of graph optimization -- PI Orecchia has a great track record, and has been a leader in the using convex optimization techniques to give near-linear time algorithms for fundamental graph problems.  _x000D_
_x000D_
- However, many of the other PIs (info theory/ data mining) e.g., in the context of community detection/ combinatorial inference seem to work on more applied aspects, as opposed to theoretical problems in this space.  Minor point, but for instance, the PIs incorrectly interpret the results of Moitra-Perry-Wein --- the result shows that SDPs (while robust to errors) are in fact *weaker* than other algorithms that obtain the optimal guarantees in block models. _x000D_
_x000D_
-  While I anticipate very nice progress in the use of fast graph algorithms in the context of data science, I am not convinced that this will lead to transformational research reg. the graph-theoretic aspects of data science (e.g., through new models, new theories for graphical inference etc.)._x000D_
_x000D_
+ They have listed concrete themes for each of the three summers. The first summer will be on graph partitioning, community detection, and regularization in graph-learning problems. The second one on Large-scale ML and Graph Optimization, and the last one on Learning Geometric Structure._x000D_
_x000D_
In the context of the five review elements, please _x000D_
evaluate the strengths and weaknesses of the proposal with respect to broader impacts._x000D_
_x000D_
The program will lead to new curriculum on the Foundations of Data Science involving all three disciplines. The summer programs will include many graduate students, and also involve some high school students._x000D_
_x000D_
Please evaluate the strengths and _x000D_
weaknesses of the proposal with respect to any additional solicitation-specific review criteria, if _x000D_
applicable_x000D_
_x000D_
+ Has a clear collaboration plan_x000D_
+ Has concrete steps in their evaluation plan including surveys, measures of progress through counting collaborative works, external evaluation team etc. _x000D_
_x000D_
- Many of the collaborations outlined in the proposal seem to be centered around PI Orecchia. I would have to liked to see more proposed collaborations between the statisticians and mathematicians._x000D_
_x000D_
- I am not sure what Phase II will comprise of (it seems to mainly indicate larger summer programs)._x000D_
_x000D_
Summary Statement_x000D_
_x000D_
This proposed TRIPODS program at Boston University will focus on foundational graph-theoretic aspects of data science. It will primarily be an intensive summer research program consisting of many workshops. I like the focus on the graph-theoretic aspects. However apart from the graph optimization (TCS) aspects, I am not convinced about transformational research on the more machine learning aspects of these graph problems._x000D_
_x000D_
</t>
  </si>
  <si>
    <t>1740836</t>
  </si>
  <si>
    <t>Berger-Wolf</t>
  </si>
  <si>
    <t xml:space="preserve"> Panel Summary       
 Description: _x000D_
The proposal argues that they have a unique departmental_x000D_
structure for collaboration in data science. The research component_x000D_
focuses on two topics: 1) network inference problems and 2)_x000D_
computational and statistical challenges posed by large and noisy_x000D_
datasets. The proposal center activities include components of_x000D_
collaboration, training, education. Noteworthy is also the fact that_x000D_
they plan for talks by leading scientists, brainstorming sessions,_x000D_
exploratory working groups, visiting scholar program._x000D_
_x000D_
Intellectual Merit: _x000D_
The team mentions a broad set of topics. The importance of the general_x000D_
problems is well established. However the topics do not coalesce_x000D_
around a fixed themes. Some projects are just _x000D_
projects that the PIs are currently working on, and others are too far_x000D_
from the usual set of topics of the PIs._x000D_
_x000D_
Strengths:_x000D_
+ the list of topics is broad_x000D_
_x000D_
Weaknesses_x000D_
- particular topics are somewhat narrow_x000D_
- some of the themes are not well-connected to the expertise of the PI_x000D_
team_x000D_
- topics do not coalesce around a unifying vision._x000D_
_x000D_
Broader impacts:_x000D_
there's a good set of broader impacts, especially in addressing_x000D_
the diversity (UIC is a minority serving institution/hispanic serving_x000D_
institution). The team is also good at promoting women in the research._x000D_
_x000D_
Strengths_x000D_
+ UIC is a minority serving institution_x000D_
+ diversity_x000D_
+ the departments are part of various networks for promoting women._x000D_
_x000D_
Weaknesses_x000D_
* none noted._x000D_
_x000D_
TRIPODS-specific criteria: _x000D_
_x000D_
Strengths_x000D_
+ PI team and their expertise represents all 3 communities._x000D_
_x000D_
Weaknesses_x000D_
- some of the presented topics are far from the core expertise of the team (e.g., no publications related to the proposed research)._x000D_
- some research topics don't have enough technical details_x000D_
- the panel thought that there's no cohesive vision._x000D_
_x000D_
Data Management Plan: they don't plan to generate new data, except for publications._x000D_
_x000D_
Post-doctoral Mentoring Plan: _x000D_
The plan is described well and in detail._x000D_
_x000D_
Suggestions to PI: _x000D_
The PIs could have developed a more concrete vision and unifying_x000D_
theme, as well could have developed some of the themes better._x000D_
_x000D_
Justification for Panel Rating: _x000D_
The panel viewed the proposal as being "a broad_x000D_
collection of narrow topics". _x000D_
_x000D_
Panel Rating:_x000D_
_ Highly Recommended _x000D_
_ Recommended _x000D_
X Not Recommended _x000D_
_x000D_
The summary was read by/to the panel and the panel concurred that the summary accurately reflects the panel discussion. 
</t>
  </si>
  <si>
    <t xml:space="preserve">Dear Professor Berger--Wolf,_x000D_
_x000D_
I regret to inform you that the NSF proposal CCF 1740836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DMS 1740836 _x000D_
Title: UIC Institute for the Mathematical Foundations of Data Science _x000D_
PI: Tanya Berger-Wolf, David B. Antieau, Lev Reyzin, Min Yang _x000D_
Institution: University of Illinois at Chicago_x000D_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Information Science  Engineering (CISE) and the Division of Mathematical Sciences (DMS) in the Directorate for Mathematical and Physical Sciences (MPS)._x000D_
_x000D_
Introduction:  This proposal builds on the well-established departmental structure  at the submitting institution that finds computer science, statistics, and mathematics housed in the same academic unit._x000D_
_x000D_
Initial research efforts will focus on a few areas, including (1) the development of new models and approaches to network inference problems and (2) the computational and statistical challenges presented by extraordinarily large and noisy datasets._x000D_
_x000D_
Broader impacts described in the project summary include the training of graduate students and the leveraging of existing activities at the submitting campus to encourage participation in the data sciences by members of groups that are under-represented in these fields._x000D_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G, G, and F._x000D_
_x000D_
This proposal was among the twenty-one rated NR or NDP._x000D_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</si>
  <si>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This proposed research focuses on network interference problems and the computational and statistical challenges posed by large and noisy datasets.  Although the intellectual merit of these problems is well-established in this proposal, the proposed research directions could be more specific and focused.  The (overly) broad directions considered include:_x000D_
- active learning_x000D_
- noise-tolerant algorithms_x000D_
- computational cost / statistical efficiency tradeoffs_x000D_
- structured data (networks and topology)_x000D_
_x000D_
_x000D_
In the context of the five review elements, please _x000D_
evaluate the strengths and weaknesses of the proposal with respect to broader impacts._x000D_
_x000D_
The broader impacts include:_x000D_
- curriculum development_x000D_
- seminar series_x000D_
- graduate student training_x000D_
- continuing an existing university commitment to women and underrepresented minorities._x000D_
_x000D_
Please evaluate the strengths and _x000D_
weaknesses of the proposal with respect to any additional solicitation-specific review criteria, if _x000D_
applicable_x000D_
_x000D_
Existing institutional structures (an interdisciplinary department) will be leveraged to encourage interdisciplinary collaboration.  Some of the PIs already have a history of collaboration.  There is a clear vision for the institute, though I think the research ambitions are overly broad for a tight cohesive research focus._x000D_
_x000D_
Summary Statement_x000D_
_x000D_
The PIs present a broad array of research questions along with clear institutional structures to develop a data science institute.  Though their vision is overly broad to create a driving institute mission, they have existing collaborations and experiences in place to support some of their agenda._x000D_
_x000D_
</t>
  </si>
  <si>
    <t xml:space="preserve">In the context of the five review elements, please _x000D_
evaluate the strengths and weaknesses of the proposal with respect to intellectual merit._x000D_
_x000D_
The proposal is for establishing the UIC Institute for the Mathematical Foundations of Data Science. In Phase I the research focus will be on two main directions, determined by institutional strengths: (a) network inference problems and (b) computational and statistical challenges posed by large, noisy data. The proposal includes plans for a seminar series to help set research agendas and catalyze interactions among the three core disciplines, integrated with a visiting scholars program. The PIs propose to create new interdisciplinary data science courses and the project will train a postdoc and graduate students. The proposal also outlines outreach efforts leveraging current initiatives at UIC._x000D_
_x000D_
The departmental structure at UIC differs from most institutions in that a single Arts and Sciences department houses mathematics, statistics and computer science. An additional computer science department in the College of Engineering also houses some theoretical computer scientists and data scientists working on practical problems. To a certain extent, this structure should facilitate the implementation of new cross-disciplinary activities in data science. The proposal does a very good job of identifying specific research topics based on expertise currently available in the two departments. However, I think this component would have been much stronger had the PIs articulated a clear vision for foundations of data science, explaining how the proposed research activities fit in that vision. The proposed problems all seem to be very interesting and relevant, but the scope seems to be a bit narrow to provide the foundations for a data science institute. Center-like activities will include a seminar series with brainstorming sessions that will help shape up more focused small exploratory research groups. These are structured so as to foster interactions among the three communities and integrate research and training. The PIs also envision a public regional version of these seminars, including participants from other institutions. The participation of visiting scholars in their activities from the early stages of implementation is a good feature that will help broaden and increase the visibility and impact of the research conducted by the institute. The main activities related to curriculum development are new undergraduate and graduate data science courses. These seem to be integrated with a bachelor program in data science that is in development, as well as a masters program in the College of Business Administration. These are all good things, but here too, I find that the vision for education in data science is not so clearly articulated. I also would have liked to see more detailed discussion of TRIPODS broad themes. For example, the proposal refers to interactions with the broader data science community, but I do not see concrete plans or mechanisms for that. The proposed timeline for implementation is fairly detailed and looks sound._x000D_
_x000D_
In the context of the five review elements, please _x000D_
evaluate the strengths and weaknesses of the proposal with respect to broader impacts._x000D_
_x000D_
The PIs anticipate various K-12 outreach activities to enhance science education. Results from prior support show that several PIs are committed to such efforts, but the proposal does not outline any specific activities or mechanisms in this direction. The proposal indicates that UIC has a very diverse student body and many initiatives to reach out to underrepresented groups in science and technology. The project will leverage these initiatives and several examples are given in the proposal. However, the narrative is somewhat diffuse and does not seem to clearly identify the roles of project personnel in these efforts._x000D_
_x000D_
Please evaluate the strengths and _x000D_
weaknesses of the proposal with respect to any additional solicitation-specific review criteria, if _x000D_
applicable_x000D_
_x000D_
The integration of research and training activities is relatively strong. The discussion of TRIPODS broad themes is limited so it is difficult to assess the potential in this area. I already have commented on the educational component and the main training activity seems to be participation of students and postdocs in the exploratory research groups. Discussion about workforce development is somewhat limited. The proposed research program involves all three disciplines and is likely to create some synergies among them. My main concern relates to scope and vision. The proposal does not seem to address interactions with domain sciences and industry in a substantive manner. I do not find enough evidence that the proposed activities will suffice for developing Phase II capability and capacity._x000D_
_x000D_
As pointed out in the proposal, collaboration mechanisms are built in to the project by design. I agree with that and like it. The evaluation plan, however, is not very objective. A clear set of objective measures to assess progress and success would be desirable._x000D_
_x000D_
Summary Statement_x000D_
_x000D_
The proposal is successful in identifying the current strengths in data science at UIC and developing research and educational plans around these strengths. However, the vision for an institute is not well articulated and the scope of the proposed activities is somewhat limited. I also find that the proposal is not particularly successful in addressing program-specific criteria._x000D_
_x000D_
I place this proposal in the bottom third of those I have read._x000D_
_x000D_
</t>
  </si>
  <si>
    <t xml:space="preserve">In the context of the five review elements, please _x000D_
evaluate the strengths and weaknesses of the proposal with respect to intellectual merit._x000D_
_x000D_
As explained in the proposal, the University of Illinois at Chicago (UIC) has a unique departmental structure that can serve as a test bed for collaborations in data science. The Mathematics, Statistics, and Computer Science Department, housed in the College of Liberal Arts and Sciences, is comprised of pure and applied mathematicians, statisticians, and theoretical computer scientists. The Computer Science Department, in the College of Engineering, also houses theoretical computer scientists, as well as data scientists working on more practical problems. The proposing team consists of people in both departments. Together, they propose to create a TRPODS Institute to bring people together to work on foundational data science problems and ideas.  _x000D_
_x000D_
Two research topics are discussed. The first concerns with large and noisy datasets, and the challenge is to extract useful information from such datasets. The second concerns with structured data, and the challenge is understand the structures such as network or other topologies for a dataset based on partial information. _x000D_
_x000D_
Besides research, the PIs discussed some proposed activities for collaboration, training, and education. A seminar / brainstorming series will be initiated with a seminar talk by a leading scientist on a frontier topic in data science and a brain storming session in which participants with different background will pool their expertise to develop novel approaches to push past the frontier. This will then be followed by an exploratory working group to pursue those ideas that look promising. The seminar idea is also expanded to include full-day workshops, with presentations of research progress and expanded version of brainstorming sessions. Both the seminar and the workshop series will be supported by a visiting scholar program with participation of visiting scientists. Other proposed activities include graduate student research and creation of new courses._x000D_
_x000D_
The research problems are well explained and are of interdisciplinary nature with need for expertise from all three research communities. The proposed seminar series has some novelty. But I also thought the impact is more or less within the institution. There is no indication of industrial partnership._x000D_
_x000D_
In the context of the five review elements, please _x000D_
evaluate the strengths and weaknesses of the proposal with respect to broader impacts._x000D_
_x000D_
The PIs indicated their experience and commitment in teaching, mentoring, and outreach. They believe the interdisciplinary nature of the research promised an opportunity for them to reach out to the diverse community at UIC and in Chicago. It was noted that UIC is a large urban public research-intensive university with one of the most diverse student bodies in the country. It has been recently awarded the designations of a Minority Serving Institution (MSI), an Asian American and Native American Pacific Islander-Serving Institution (AANAPISI), and a Hispanic Serving Institution (HSI). The CS and MSCS Departments are also part of the various networks that promote women in the profession. _x000D_
_x000D_
Given all these, the PIs are in a good position to contribute to the broadening participation of the workforce._x000D_
_x000D_
Please evaluate the strengths and _x000D_
weaknesses of the proposal with respect to any additional solicitation-specific review criteria, if _x000D_
applicable_x000D_
_x000D_
_x000D_
_x000D_
Summary Statement_x000D_
_x000D_
This is a solid proposal from a groups of active researchers in the three communities. Comparing to the very best proposals, its research is not quite cutting edge. Furthermore, there is no indication of industrial partnership, and little discussion for applications in domain sciences._x000D_
_x000D_
</t>
  </si>
  <si>
    <t>The University of Illinois at Chicago has a unique departmental structure that can serve as a testbed for collaboration among computer scientists, statisticians, and mathematicians working on the foundations of data science.  The Mathematics, Statistics, and Computer Science Department at UIC, which is housed in the College of Liberal Arts and Sciences, is comprised of pure and applied mathematicians, statisticians, and theoretical computer scientists.  The Computer Science Department at UIC, in the College of Engineering, also houses theoretical computer scientists, as well as data scientists working on more practical problems.We propose to create an Institute to bring this diverse group of faculty and students together across departmental and disciplinary boundaries to work on a wide range of foundational data science problems and ideas.  Since all three foundational fields are already represented in one department, UIC possesses a particular advantage in coordinating a new collaborative structure within an already existing institutional framework. On the other hand, because many computer scientists, and all data scientists, are located in a different college, the success of the institute will ultimately depend on collaborations among distant administrative entities at the university. We intend for this proposal and institutional integration to serve as a template for larger endeavors of this nature in the future._x000D_
_x000D_
We will initially focus our efforts on a few theoretical research directions, guided by UIC?s strengths: 1) developing new models and approaches to network inference problems and 2) addressing the computational and statistical challenges presented by extraordinarily large and noisy datasets. _x000D_
_x000D_
We will initiate a seminar/brainstorming series, with two components: (1) a seminar talk from a leading scientist about a "frontier" in data science and (2) a brainstorming session in which participants develop novel approaches to push past the frontier. After each seminar, a small exploratory committee will be created to pursue promising ideas. A public regional version of these seminars will be organized each semester. The series will be complemented by a visiting scholar program.We will directly support graduate student training and education efforts by creating new interdisciplinary data science courses spanning both departments, including already approved annual ?mathematical foundations of data science? graduate course. _x000D_
_x000D_
UIC is a large urban public research-intensive university with one of the most diverse student bodies in the country.  The proposed TRIPODS institute will leverage many current initiatives at UIC to encourage participation in the data sciences by under-represented minority students.</t>
  </si>
  <si>
    <t>1740837</t>
  </si>
  <si>
    <t>Bresler</t>
  </si>
  <si>
    <t xml:space="preserve">The review process for the Transdisciplinary Research in Principles of Data Science Phase I solicitation, (NSF 16-615), is described in the context statement. _x000D_
_x000D_
Reviewers were encouraged to provide feedback on the standard NSF review criteria and the TRIPODS Specific Review Criteria which can be found in Section A at: https://www.nsf.gov/pubs/2016/nsf16615/nsf16615.htm _x000D_
_x000D_
This proposal was lacking with respect to one or more categories of review as commented on in the panelists' reviews. Projects were required to describe a well-integrated research and training program focused on the theoretical foundations of data science and fostering collaboration and interaction among the three communities of TRIPODS - mathematics, statistics, and theoretical computer science. Scientific merit included assessment of the team's ability to articulate a vision for the theoretical foundations of data science and describe synergy between the different groups. _x000D_
_x000D_
After seeing the submitted reviews, the panelists agreed that the reviews adequately described the relative strengths and weaknesses of the proposal. This proposal was part of a group that was not selected for in-depth discussion by the panel and placed in the "Not Discussed in Panel" category. No panel summary was produced for proposals placed in this category. _x000D_
_x000D_
The Management Team evaluated each proposal for funding in light of its intellectual merit and broader impacts relative to the goals of the TRIPODS program, taking into account the reviews and ratings. The team also considered this proposal in relation to other proposals reviewed in this and other panels, the need to maintain appropriate balance among subfields, the total amount of funds available to the program for new proposals, and general Foundation policies. _x000D_
_x000D_
The Management Team concurred with the overall assessment of the panel and recommended this proposal be declined. _x000D_
_x000D_
Nandini Kannan, Program Officer _x000D_
Division of Mathematical Sciences _x000D_
Aug 7, 2017 _x000D_
_x000D_
On behalf of the TRIPODS Management Team _x000D_
Nandini Kannan _x000D_
Tracy Kimbrel _x000D_
Jack Snoeyink _x000D_
Christopher Stark </t>
  </si>
  <si>
    <t xml:space="preserve">In the context of the five review elements, please _x000D_
evaluate the strengths and weaknesses of the proposal with respect to intellectual merit._x000D_
_x000D_
This is a solid proposal which sets out a thought-through research_x000D_
plan spanning all 3 disciplines, and a good education plan._x000D_
_x000D_
The research plan is composed of a few themes:_x000D_
* graph theory/algorithms_x000D_
* topological spaces of functions_x000D_
* dynamic graph models_x000D_
* deep learning of inverse models_x000D_
* data privacy_x000D_
including "applications" such as:_x000D_
* adversarial machine learning_x000D_
_x000D_
S/W:_x000D_
+ most of the topics are very solid (if only a little generic in some_x000D_
cases), and can be mapped pretty clearly to the PI team members who_x000D_
are experts on the particular topic._x000D_
+ no doubt they would deliver important result in the proposed topics_x000D_
+ the topic covers TCS, Math, and Stats quite well_x000D_
- there seems to be little discussion of synergies and interaction:_x000D_
none of the topics really is inter-disciplinary, but is rather a _x000D_
good subject in their own discipline. this is best exemplified by the_x000D_
section 2.5.1, where there's a lot of discussion of processing data_x000D_
"as it arrives", but not mention of sublinear space algorithms studied_x000D_
in TCS._x000D_
- there is no unifying vision of research_x000D_
- the applications are not quite tied to the main research themes._x000D_
_x000D_
The center building activities are:_x000D_
* grad student mentoring_x000D_
* annual workshop_x000D_
* curriculum (some classes are promised to be co-taught by faculty in_x000D_
3 disciplines)_x000D_
* special session at Allerton (which I find an unusually good part)_x000D_
* seminar series_x000D_
* undergrad projects, and open house for high school students_x000D_
_x000D_
_x000D_
In the context of the five review elements, please _x000D_
evaluate the strengths and weaknesses of the proposal with respect to broader impacts._x000D_
_x000D_
BI follow mostly from the center building activities (which, notably,_x000D_
include outreach to undergrads and high school students). Noteworthy_x000D_
is also the intended application to data analysis of cryo-electron_x000D_
microscopy imaging, which would be of high societal value._x000D_
_x000D_
_x000D_
Please evaluate the strengths and _x000D_
weaknesses of the proposal with respect to any additional solicitation-specific review criteria, if _x000D_
applicable_x000D_
_x000D_
The proposal has many good things going on, in particular the research_x000D_
themes, when taken individually are strong. They represent all 3_x000D_
disciplines well. However it is hard to identify what value is brought_x000D_
by putting all these themes (by different PIs) together. There's_x000D_
little discussion of synergy/interaction, and how a common language is_x000D_
to be built._x000D_
_x000D_
The CP mentions that at least 6 PIs are physically collocated, which is_x000D_
a good sign otherwise. (But there's no further concrete plan on how to_x000D_
make the co-PIs talk to each other.)_x000D_
_x000D_
While the center-building activities are at a little smaller scale,_x000D_
the PIs discuss plans for Phase II, including:_x000D_
* establishing year-long thematic programs_x000D_
* establishing a summer program_x000D_
* transdisciplinary PhD training in industry-oriented R&amp;D._x000D_
_x000D_
_x000D_
Summary Statement_x000D_
_x000D_
Overall, this is a strong proposal: it puts together a_x000D_
cross-disciplinary team that knows and understand data science-y_x000D_
challenges in their respective disciplines. The proposed themes are_x000D_
solid when taken as separate units. There is less of a unifying_x000D_
vision, effort at doing *inter-disciplinary* research, or concrete_x000D_
plans at making coPIs collaborate and cross the disciplinary boundaries._x000D_
_x000D_
_x000D_
</t>
  </si>
  <si>
    <t xml:space="preserve">In the context of the five review elements, please _x000D_
evaluate the strengths and weaknesses of the proposal with respect to intellectual merit._x000D_
_x000D_
The scientific plan proposes a rather long list of valuable research endeavors. However I find that the global strategy is hard to read. In particular I do not see clearly why these efforts are expected to generate new synergies between Mathematics, Computer Science and Statistics. They read more like the continuation of existing valuable research.  On the positive side, this is one of the few proposals to include a specific research on the privacy aspects._x000D_
+ They did not forget privacy problems_x000D_
_x000D_
In the context of the five review elements, please _x000D_
evaluate the strengths and weaknesses of the proposal with respect to broader impacts._x000D_
_x000D_
The proposal aims for broader impact through mentoring and through the development of a data science set of courses. They also envision a well structured summer program (UIUC Tripods summer program) which they see as a stepping stone towards phase 2. This depends a lot on the mix of people they can attract into these programs. It helps that UIUC is a well known institution with a large variety of students and researchers. The funding is split almost equally between senior personnel and students. _x000D_
_x000D_
_x000D_
_x000D_
Please evaluate the strengths and _x000D_
weaknesses of the proposal with respect to any additional solicitation-specific review criteria, if _x000D_
applicable_x000D_
_x000D_
The proposal defines clear evaluation criteria and processes._x000D_
_x000D_
Summary Statement_x000D_
_x000D_
The scientific program reads more like a juxtaposition of valuable research efforts than like a global scientific strategy to develop new synergies. Although the plans for broader impacts and for evaluation are more convincing, I find this otherwise good proposal wanting on the specific point of developing synergies._x000D_
_x000D_
</t>
  </si>
  <si>
    <t xml:space="preserve">In the context of the five review elements, please _x000D_
evaluate the strengths and weaknesses of the proposal with respect to intellectual merit._x000D_
_x000D_
The proposal presents a plan to establish a TRIPODS Phase I institute at UIUC. The proposed research will cover a broad range of topics in data science including problems related to large networks, dynamical networks, high dimensional time series, deep neural networks, and security and privacy of data systems. The research will be integrated with training of graduate students and curriculum development. _x000D_
_x000D_
The proposal identifies clear research topics in foundations and applications of data science spanning a broad array of problems and offers convincing explanations of their relevance. The team of investigators seems to be well qualified to contribute advances in these topics. These are strengths of the proposal as is the application awareness of the topics. The proposal explains that expertise in mathematics, statistics, and theoretical computer science will be needed in addressing the problems, but could have made a stronger case that the various problems will lead to significant interactions among the disciplines and not just be a collection of discipline specific problems. The proposal also presents a list of courses that may be implemented to complement an existing professional master program in computer science and an undergraduate data science certificate program in statistics. However, it is not clear whether these courses actually will be implemented if the project is funded. Additionally, the proposal does not identify personnel that will be in charge of developing these courses. I note that the core affiliations of several PIs are with engineering departments, so this makes me wonder how well it addresses some of the key goals of the TRIPODS program such as bringing together the three communities in a synergetic fashion to approach education and training in data science in a unified manner. For example, part of the proposed curriculum development seems to be centered on an engineering program._x000D_
_x000D_
Annual 2-3 day workshops are proposed. These will be important to develop institute capability, but my view is that the proposal is too modest in this regard. The budget allocates funds for travel to domestic conferences, but I think priority should be given to center-like activities that help set solid foundations for a data science institute, a key goal of the program._x000D_
_x000D_
The main broad themes addressed in the proposal seem to be application-aware foundational research, dynamical aspects of data, and robustness, security and privacy of data._x000D_
_x000D_
In the context of the five review elements, please _x000D_
evaluate the strengths and weaknesses of the proposal with respect to broader impacts._x000D_
_x000D_
Several applications of the resulting research are anticipated by the PIs. The proposal makes a very brief reference to collaborations with industry and domain sciences, but this is not sufficiently developed. Similarly, the proposal mentions efforts to encourage female students to join the program, but specific mechanisms or activities are not discussed. The proposal also presents plans for course development and annual workshops, as already noted above. I do not see any proposed outreach efforts, a key omission, especially in a proposal for a data science institute. This is a significant weakness._x000D_
_x000D_
Please evaluate the strengths and _x000D_
weaknesses of the proposal with respect to any additional solicitation-specific review criteria, if _x000D_
applicable_x000D_
_x000D_
Eight graduate students will be sponsored by the project each year. This is very good, but the proposal does not provide further details about activities involving graduate students. Other educational activities will focus on development of courses related to data science, but specifics are missing as already mentioned. These seem to be the main proposed activities related to education or workforce development. The description of the research topics is fairly detailed, but the discussion of how the projects will create synergies between the core disciplines is somewhat limited even though the main expected interactions are sketched in a diagram in the collaboration plan. Broad themes such as application-aware foundational research, dynamical aspects of data, and robustness, security and privacy of data are addressed in the proposal. The proposed work in these directions is well formulated and seems to be promising. However, several other aspects of the proposal are somewhat underdeveloped, for example, broader impacts and collaborations with industry. There are several things to like in their Phase II plan such as a TRIPODS Summer Program. The proposal would have been much stronger had it included more Phase I activities leading up to these._x000D_
_x000D_
Summary Statement_x000D_
_x000D_
The proposal presents a well-structured plan for research in some aspects of data science. However, as noted above, the proposal does not seem to be particularly responsive to some key goals of the TRIPODS program. The discussion of broader impacts is underdeveloped and outreach efforts are not included._x000D_
_x000D_
I place this proposal in the bottom third of those I have read._x000D_
_x000D_
</t>
  </si>
  <si>
    <t>Large-scale datasets arising from experimental, observational, and simulated processes in the natural and social sciences and other areas have created enormous opportunities for understanding our world. Challenges range from addressing fundamental questions in physics and biology to testing long-held social science theories, and creating new economic and social modes of interaction. Solving these challenges will have a profound impact on industry and academic research and will spur the development of new technologies for industry and society._x000D_
To achieve significant progress in data science, one needs to look beyond conventional analytical and computational techniques. Many foundational questions lie in the intersection of computer science, statistics, and mathematics. This proposal focuses on several major research problems in data science and aims at developing a collaborative environment for data scientists and domain experts, enhancing large scale computing infrastructure, and launching new programs in data science in Phase II. Progress and breakthroughs in fundamental aspects of data science in relevant sub-disciplines of maths, statistics, and computer science will be used in various applications. We will provide physical space and opportunities for multi-disciplinary networking and collaborative research and enable inter-disciplinary teams to develop new courses and to collaborate on data science research projects of societal relevance.This proposal focuses on several major research problems, which present considerable technical challenges: establishing theoretical foundations for large networks from the perspective of discrete mathematics, graph theory, and topology; developing methods for dynamics, graphs, and high dimensional time series analysis; designing deep neural networks for inverse problems; and studying the robustness, security, and privacy of data systems. Our solutions will be applied to improve the state of the art in areas as diverse as communication networks, personal data privacy, adversarial machine learning, and cryo-electron microscopy image processing.The project will contribute to workforce development through the training of graduate students, and will establish an interdisciplinary environment bridging mathematics, statistics, theoretical computer science, and applications. The research carried out during TRIPODS Phase I will also contribute towards new curricular development. The proposed methodologies should lead to significant advances in many facets of data science and applications across science and engineering. This project encourages reproducible research and aims at connecting domain scientists and data scientists, enhancing large scale computing infrastructure, and launching new degree programs in data science in Phase II.</t>
  </si>
  <si>
    <t>1740838</t>
  </si>
  <si>
    <t>Bayne</t>
  </si>
  <si>
    <t xml:space="preserve">In the context of the five review elements, please _x000D_
evaluate the strengths and weaknesses of the proposal with respect to intellectual merit._x000D_
_x000D_
I find this proposal insufficient because it does not spell out the scientific themes of the institute. Instead tasks 6, 7, 8 are defined as identifying existing research and continuing the work.  This is not sufficient in my book, and it does not explain why new synergies are expected from these three separate tasks._x000D_
_x000D_
In the context of the five review elements, please _x000D_
evaluate the strengths and weaknesses of the proposal with respect to broader impacts._x000D_
_x000D_
The core of the proposal is the creation of a data science curriculum, something that is happening in almost all universities nowadays. The proposal plans workshops whose purpose is to solicit research and application topics._x000D_
_x000D_
Please evaluate the strengths and _x000D_
weaknesses of the proposal with respect to any additional solicitation-specific review criteria, if _x000D_
applicable_x000D_
_x000D_
_x000D_
_x000D_
Summary Statement_x000D_
_x000D_
The core of the proposal is the creation of a data science curriculum and the organization of the institute management. The selection of research themes is left for the future, something that I find insufficient because it does not allow the panel to evaluate whether the proposal can achieve the desired synergies between the TRIPODS disciplines._x000D_
_x000D_
</t>
  </si>
  <si>
    <t xml:space="preserve">In the context of the five review elements, please _x000D_
evaluate the strengths and weaknesses of the proposal with respect to intellectual merit._x000D_
_x000D_
+ a broad selection of topics across mathematics, statistics and computer science._x000D_
_x000D_
- the proposal strikingly lacks a concrete research plan: on absence of it, it is not even clear how the attendees of workshops will be selected._x000D_
_x000D_
In the context of the five review elements, please _x000D_
evaluate the strengths and weaknesses of the proposal with respect to broader impacts._x000D_
_x000D_
+ a solid educational plan._x000D_
+ Collaboration with local institutions_x000D_
_x000D_
- Somewhat limited for a project of this size._x000D_
- No concrete description of otherwise stated "outreach activities"_x000D_
_x000D_
Please evaluate the strengths and _x000D_
weaknesses of the proposal with respect to any additional solicitation-specific review criteria, if _x000D_
applicable_x000D_
_x000D_
+ The proposal comes from a department with a department representing exactly the three three legs of TRIPODS_x000D_
- Lacks concrete plans to leverage the interdisciplinary nature of the project._x000D_
_x000D_
Summary Statement_x000D_
_x000D_
The proposal fails to deliver a concrete research plans. This is very detrimental to the proposal as it makes it difficult to foresee the future activities and judge either the quality of the activities or the qualifications of the project members._x000D_
_x000D_
</t>
  </si>
  <si>
    <t xml:space="preserve">In the context of the five review elements, please _x000D_
evaluate the strengths and weaknesses of the proposal with respect to intellectual merit._x000D_
_x000D_
This proposal is from a group of faculty within the Department of Mathematics, Statistics, and Computer Science (MSCS) at the Marquette University. As indicated in the proposal, this department has been organized around these three interrelated disciplines since its founding circa 1981. The PIs propose to start the Marquette TRIPODS Institute (MTI) whose mission is to develop, promote and offer integrated data science tools and techniques that support the systematic development of a broad range of system science solutions. _x000D_
_x000D_
Phase 1 activities of MTI include offering of a sequence of workshops and seminars, proposing initial agenda for 3-year MTI Phase II science-oriented research and application-oriented research, defining, acquiring, and commissioning a basic MTI Data Science computational platform, and establishing a model for a harmonized multidisciplinary Data Science academic curriculum within the institution and among its allied institutions. The proposal provides a list of 15 tasks to complete these activities. _x000D_
_x000D_
In terms of research topics, the proposal provided some general explanation for a number of topics listed under mathematics, statistics, and computer science. They appear to be separate topics in each of the three disciplines, and therefore do not seem to contribute to the transdisciplinary Data Science. No specific research agenda is discussed. Given that, the intellectual merit is minimum._x000D_
_x000D_
In the context of the five review elements, please _x000D_
evaluate the strengths and weaknesses of the proposal with respect to broader impacts._x000D_
_x000D_
There are some positive impacts in educational activities. Some of those are not well explained.  For example, the description for workshop could have provided more details on the topics, timing, anticipated participants, and expected impacts. _x000D_
_x000D_
_x000D_
Please evaluate the strengths and _x000D_
weaknesses of the proposal with respect to any additional solicitation-specific review criteria, if _x000D_
applicable_x000D_
_x000D_
The transdisciplinary nature of research is weak as the proposed research topics are separates in the three disciplines.  The proposal does not demonstrate a vision for data science. The collaboration plan is fine. The evaluation plan is lacking._x000D_
_x000D_
Summary Statement_x000D_
_x000D_
The lack of concrete research topic is a serious defect of the proposal. The PIs only used 9 pages total in the Project Description. They should have made use of the the 15 page limit to demonstrate their project plan fully. _x000D_
_x000D_
_x000D_
</t>
  </si>
  <si>
    <t>Marquette University's Department of Mathematics, Statistics and Computer Science (MSCS) is pleased to submit this TRIPODS Institute Phase I proposal, requesting $1.5M ($500K/year) to support a Phase I TRIPODS Institute development effort over a 3-year period.  Marquette's existing capabilities align well with the TRIPODS program objectives because MSCS is and has been organized around these three interrelated disciplines since its founding circa 1981.  As an integral part of Marquette's Klingler College of Arts and Sciences, the MSCS department has significant experience in research and teaching computational sciences and in supporting allied disciplines, especially in engineering and the natural and health sciences.  MSCS currently offers undergraduate and graduate academic Data Science programs that complement its existing BS, MS and PhD degrees in Computational Science.The essential merit of this proposal derives from our commitment to formalizing the acquisition and interpretation of data derived from observations of natural (e.g., physical) and synthetic (e.g., economic) processes, services essential to scientific discovery and innovation, encompassing data from metabolic to industrial scales.  Data science, applied across all application domains, is inherently concerned with the structure, volume, velocity, veracity and analysis of data.Complementing the strategic objectives of the TRIPODS solicitation, our proposal recognizes that the evolution of data science and the organization of academic programs is critical to supporting 21st century efforts related to the continuous automation and control of increasingly complex social, biological, economic, cyber-physical and edge (e.g., Internet of Things) systems.  _x000D_
_x000D_
In both regards, data derived from observations of natural and synthetic processes are essential to discovery and innovation.  Data comes in a range of structures, evolves over timescales ranging from milliseconds to years, and is distinguished in time by its volume, velocity and quality.  Once acquired, the veracity and utility of data depends on its being properly curated and associated with metadata characterizing its provenance.  In the end, data and the science and technologies needed to acquire, store and process it permit our discovery and understanding of the states and behaviors of the processes that generate it and that we wish to identify.  In effect, data science is an indispensable observational component of systems science, feeding modeling, simulation and visualization studies, and ultimately enabling the implementation of regulatory and supervisory process control schemes applied to biological, healthcare, economic, computational, and electro-technical systems._x000D_
_x000D_
Research topics of interest under this initial Marquette TRIPODS Phase I program includes topics in theoretical mathematics, 1) the mathematics of cognitive processing, including cellular, neural and fuzzy networks, 2) nonlinear stochastic systems involved in pattern recognition and machine learning, and 3) development of a mathematical (algorithmic) approach to cognition, specifically "situation assessment," as it relates to a broader concept of cognitive computing. Topics of interest in theoretical statistics include 1) methods for high dimensional data supporting machine learning, 2) rationalizing time within and across data streams, and 3) the demographics of regional public health. Topics of interest in theoretical computer science include 1) cognitive computing methods and tools, 2) coordination and scheduling in real-time, high-availability distributed computing systems (including cyber-physical and IoT systems), and 3) the theory and application of cyberspace-time.</t>
  </si>
  <si>
    <t>1740840</t>
  </si>
  <si>
    <t>Poggi-Corradini</t>
  </si>
  <si>
    <t xml:space="preserve">In the context of the five review elements, please _x000D_
evaluate the strengths and weaknesses of the proposal with respect to intellectual merit._x000D_
_x000D_
The topic of this proposal is the study of graphs/networks and its_x000D_
applications. This is a very math-centric proposal, and there are few_x000D_
reach-outs to statistics and TCS._x000D_
_x000D_
The main object of study is the p-modulus on graphs, which generalizes_x000D_
all the standard quantities on graphs like distances, min-cuts, and_x000D_
effective resistances. This is an interesting and timely subject to_x000D_
study with many applications._x000D_
_x000D_
I have a couple qualms with the research part of the proposal:_x000D_
- I don't think it delivers in terms of connections and synergies with_x000D_
especially TCS. _x000D_
- This is particularly glaring since some of these notions have_x000D_
received quite a lot of _x000D_
attention in TCS which PI do not even cite. Eg, work of TCSers like_x000D_
Madry, Kelner, Sidford, Lee, and others has led to faster_x000D_
algorithms for the min-cut problem. If this proposal is about_x000D_
algorithms for computing p-modulus, I cannot see how it would not_x000D_
talk about those advances._x000D_
- overall, while the proposal mentions some concrete (otherwise very_x000D_
worthy) goals in terms of understanding p-modulus for graphs, the_x000D_
computer sciency goals (such as faster algorithms?) seems to be less_x000D_
developed._x000D_
_x000D_
In terms of center building, the PIs propose:_x000D_
* grad student and postdoc advising_x000D_
* summer schools_x000D_
* curriculum development_x000D_
_x000D_
_x000D_
In the context of the five review elements, please _x000D_
evaluate the strengths and weaknesses of the proposal with respect to broader impacts._x000D_
_x000D_
In terms of BI, besides the natural impacts of the center building,_x000D_
the PI seem to be strong on hiring under-represented minorities. One_x000D_
of the PIs won the "you make a difference" award for her commitment to_x000D_
advising female students._x000D_
_x000D_
_x000D_
Please evaluate the strengths and _x000D_
weaknesses of the proposal with respect to any additional solicitation-specific review criteria, if _x000D_
applicable_x000D_
_x000D_
The synergy between the 3 disciplines is not well developed or_x000D_
explained, and the main drive of the proposal is focused primarily on_x000D_
the mathematical aspects. _x000D_
_x000D_
The center-building activities are reasonable, though I didn't_x000D_
identify something out-of-the-ordinary._x000D_
_x000D_
_x000D_
Summary Statement_x000D_
_x000D_
The proposal is focused primarily on studying p-modulus of_x000D_
graphs/networks.  As mentioned above, while the math side of the_x000D_
proposal is interesting, I think it lacks too much in terms of_x000D_
connections to TCS and statistics to be a competitive proposal. Lack_x000D_
of citations to relevant work done recently in TCS is just one_x000D_
evidence of that._x000D_
It feels like the proposal would be rather suitable for a discipline_x000D_
panel, rather than an inter-disciplinary institute panel._x000D_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</si>
  <si>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The team consists of researchers in mathematics, Statistics, Electrical and Computer Engineering, and Computer Science. Together, they propose to form an institute DNODE (Data and Networks Optimization, Design and Experimentation), dedicated to researching fundamental mathematical and statistical tools used in applications coming from computer science and computer engineering. A main strength that they build on is the NODE group, which consists of  three of the team members here (Albin, Poggi-Corradini, Scoglio), who have been collaborating on the theory and applications of discrete p-modules, as well as its effective computation. _x000D_
_x000D_
The proposal includes training of one postdoc (to be recruited), four Ph.D. students (one from each of the four participating departments), nine undergraduates, three Data and Networks Summer Schools, each with 3 main speakers and 15 participants per summer, curriculum developments for the online Graduate Certificate Program in Data Analytics program at Kansas State. _x000D_
_x000D_
b)	Did the proposal identify specific research topics and clearly describe the roles of the mathematics, theoretical computer science, and statistics communities in addressing these foundational challenges?  _x000D_
_x000D_
The proposal did clearly identify the research topics.  As indicated about, they very much build on the previous work by part of them team. I have found these more on the mathematical, and role of statistics seems much less._x000D_
_x000D_
c)	Did the proposal describe novel center-like activities?   _x000D_
_x000D_
The activities are described above.  They are quite generic. I don't find them to be novel._x000D_
_x000D_
d)	Please comment on the Interaction and Synergy among the 3 communities.  _x000D_
_x000D_
Three of the team members (two in math, one in ECE) have had rich collaborations in the past.  The additions from Computer Science and Statistics make sense, but one will have to see how they will work together._x000D_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_x000D_
The proposal did a good job explaining the past work of the team members as well as proposed work. I have found them to be more on the mathematics side.  The development of common terminologies and concepts are at the emerging or pre-emerging state.  The proposed research does show good potential for applications. The curriculum development is encouraging.  As for industrial engagement, there was a minimal discussion on a co-PI being invited to give a talk at the Kansas City Machine Learning Group, and a one sentence mentioning of intention for research collaboration and internship opportunities._x000D_
_x000D_
I have found the research to be sound, interesting, and with good application. On the other hand, the contribution is perhaps more on the mathematics and computer science side.  I am not sure if how much real contribution to data science this will make._x000D_
_x000D_
In the context of the five review elements, please _x000D_
evaluate the strengths and weaknesses of the proposal with respect to broader impacts._x000D_
_x000D_
a) Please provide a brief description of the broader impacts anticipated by the PIs._x000D_
_x000D_
The proposed activities are explained in the box above._x000D_
_x000D_
b) Did the proposal identify specific broader impact activities and clearly describe the roles of project personnel in addressing these challenges?_x000D_
_x000D_
The proposal did provide explanations on specific activities.  The broader impacts are good if this were an ordinary research proposal. As an institute proposal, it is expected to show bigger impacts beyond the institution._x000D_
_x000D_
_x000D_
Please evaluate the strengths and _x000D_
weaknesses of the proposal with respect to any additional solicitation-specific review criteria, if _x000D_
applicable_x000D_
_x000D_
The proposal provided thorough explanation on the proposed research.  But I found much of the proposed work to be more on the mathematical side. It is hard to know how much contribution it will on data science._x000D_
_x000D_
The training activities are more on the standard side, and the impacts are likely to be limited within the institution._x000D_
_x000D_
The interaction with domain science and industrial is minimal._x000D_
_x000D_
The Collaboration and Evaluation Plan is reasonable._x000D_
_x000D_
_x000D_
Summary Statement_x000D_
_x000D_
Overall, this is an active group of researchers with good expertise relevant to data science. The proposal would be much stronger if it clearly shows impacts on data science, and more engagement from the industry._x000D_
_x000D_
</t>
  </si>
  <si>
    <t xml:space="preserve">In the context of the five review elements, please _x000D_
evaluate the strengths and weaknesses of the proposal with respect to intellectual merit._x000D_
_x000D_
The proposal aims to use the p-modulus tool to study datasets when modelled by graphs and networks.  In addition to graph-theoretic properties, p-modulus also allows for studying the notion of centrality and clustering.  The PIs list 10+ goals. On the theoretical end, the goals include looking for unifying approach for Fulkerson Blocker pairs, proving/disproving whether certain distance function defn induces a metric.  On the implementation end, the goals include developing parallel or approximation algorithms for efficiency.  On the application end, the focus is studying epidemics, detecting community and understanding disease spread with a temporal component. _x000D_
_x000D_
+ The strength of the proposal is its unifying research theme surrounding p-modulus. _x000D_
+ PIs have a track record on p-modulus research, and have founded a successful research group called NODE. _x000D_
_x000D_
- The weakness includes it is unclear whether this proposal is a continuation of existing NSF-supported work, or whether it presents a significant leap.   _x000D_
- Unclear if application area goes beyond networks modeling epidemics.  _x000D_
- The statistics component can be strengthened. (As is, the math/cs components are dominating.)  _x000D_
_x000D_
_x000D_
In the context of the five review elements, please _x000D_
evaluate the strengths and weaknesses of the proposal with respect to broader impacts._x000D_
_x000D_
For broad impact, the application of understanding disease spread and control is of high importance.  The educational impact is quite standard, with training to undergrad, grad students, assistant prof, reaching out to minority and underrep groups. _x000D_
_x000D_
_x000D_
Please evaluate the strengths and _x000D_
weaknesses of the proposal with respect to any additional solicitation-specific review criteria, if _x000D_
applicable_x000D_
_x000D_
_x000D_
_x000D_
Summary Statement_x000D_
_x000D_
A good proposal, perhaps a bit narrow with a single focus of p-modulus._x000D_
_x000D_
</t>
  </si>
  <si>
    <t>The PIs stem from the departments of Mathematics, Statistics, Electrical and Computer Engineering and Computer Science at K-State and propose to build on existing strengths within the university to form a Phase I Institute called DNODE (Data and Networks Optimization, Design and Experimentation) dedicated to researching fundamental mathematical and statistical tools used in applications_x000D_
coming from computer science and computer engineering.An integral part of the institute mission will be to establish a common language among these different disciplines and to develop a transdisciplinary training program for graduate students at Kansas State University, with the goal of developing into a regional center that can attract researchers in Data and Network Science. These strengths include the NODE group, an interdisciplinary team researching the theory and applications of discrete p-modulus, as well as its effective computation. Discrete p-modulus is a highly flexible tool that generalizes classical graph-theoretic objects such as max flow/min cut, shortest path, and effective resistance. The project is intended to enhance both the theoretical understanding the dynamics of spreading processes in interconnected networks of individuals or sub-populations, and the computational tools available to researchers interested in modeling, simulating, and predicting the behavior of these phenomena. Another focus is to use p-modulus to study problems of community detection --for example, under the stochastic blockmodel-- and statistical inference on networks. Our training goal involves the development and integration of graduate classes that treat and use the principles of data science across various disciplines.The PIs research in fundamental Data and Network Science includes applications to robustness and optimization of networks, the study of random processes on networks, disease spreading and epidemics, and high-performance software tools for network analysis. The proposal includes training within a transdisciplinary setting of one post-doctoral fellow, four graduate students, and nine undergraduates. The PIs have a strong record of mentoring under-represented minorities and are making it an explicit recruiting goal. To this end, the institute will organize several one-day career workshops designed to inform and recruit potential graduate students in Data and Network Science. Moreover, the institute will be able to be housed under one roof in the Applied Mathematics Lab currently under construction at KState. The proposed institute will develop courses which are to be part of the Graduate Certificate in Data Science and Analytics that launched at Kansas State University. The institute will also organize two week-long summer workshops, designed to bring to the central states area established leaders in Data and Network Science. The workshops will focus in part on training in fundamental topics and in part on publicizing recent advances. The long-range plan for phase II of the institute is to increase the offering of summer workshops and include the possibility for researchers to form small research groups and spend variable amounts of time at the institute interacting with the permanent members.</t>
  </si>
  <si>
    <t>1740843</t>
  </si>
  <si>
    <t>Clarke</t>
  </si>
  <si>
    <t xml:space="preserve">Dear Professor Clarke, _x000D_
_x000D_
I regret to inform you that the NSF proposal CCF 1740843 has been recommended for declination._x000D_
_x000D_
This recommendation follows a competition described in a separate Context Statement and in the comments below.  The reviews obtained in this process are also available to you on FastLane.  I have tried to provide as much information as possible about the competition and this program's recommendation without compromising other proposals or reviewers, and I hope you find this report useful.  Should you have difficulty viewing any of these materials on FastLane, I would be glad to provide copies by electronic mail or on paper._x000D_
_x000D_
If you have questions about this or future NSF proposals, please contact me by electronic mail._x000D_
_x000D_
Yours sincerely,_x000D_
_x000D_
Christopher Stark _x000D_
cstark@nsf.gov_x000D_
_x000D_
----------------------_x000D_
_x000D_
CCF 1740843 _x000D_
Title: Midwest Institute for Data Driven Synergies (MiDS) _x000D_
PI: Jennifer L Clarke, Petronela Radu, Vinodchandran Variyam_x000D_
Institution: University of Nebraska-Lincoln_x000D_
_x000D_
These comments are the review analysis I prepared in support of my recommendation for this proposal, with information deleted that is purely administrative or that might identify reviewers or  investigators who are not involved in this proposal._x000D_
_x000D_
Context: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Introduction:  Organizational elements of this proposal include the development of  new degree programs at the masters and undergraduate levels, a regional consortium to be developed in collaboration with the Midwest Big Data Hub, and both internal and external advisory boards._x000D_
_x000D_
The research agenda is focused on a few large challenges. The first these is improved scalability and performance of overall end-to-end scientific workflows in large scale integrative modeling and analysis. _x000D_
_x000D_
This foundational research will leverage recent advancements in dynamically adaptive numerical modeling and coupling of simulation and data analysis, with scalability through data compression, adaptive sampling, and distributed processing. _x000D_
_x000D_
The second challenge is development of new coding techniques for large data applications, in particular, multimedia streaming, distributed storage systems, and internet communication. _x000D_
_x000D_
The PIs propose new locally repairable, spatially coupled codes that will be developed by deep learning techniques and then combined with standard message passing decoding for optimal speed and efficiency. In addition, the educational activities of MiDS will yield new curricula in the foundations of data science for secondary schools, higher education and workforce development._x000D_
_x000D_
Broader impacts described in the project summary include multiple collaborations with local programs to enhance diversity in STEM fields.  _x000D_
_x000D_
Panel Review: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- 2 proposals;_x000D_
_x000D_
Recommended - 7 proposals;_x000D_
_x000D_
Not Recommended (NR) - 10 proposals; and_x000D_
_x000D_
Not Discussed in Panel (NDP) - 11 proposals._x000D_
_x000D_
Review Summary and Analysis:  Three panelists reviewed this proposal, returning comments headed by summary ratings of Good, Fair, and Fair._x000D_
_x000D_
This proposal was among the eleven rated NDP._x000D_
_x000D_
After seeing the submitted reviews, the panelists agreed that the reviews adequately described the relative strengths and weaknesses of the proposal.  This proposal was part of a group that was not selected for in-depth discussion by the panel and placed in the "Not Discussed in Panel" category without production of a panel summary._x000D_
_x000D_
Analysis and Recommendation: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panel._x000D_
_x000D_
The TRIPODS management team evaluated each proposal for funding in light of its intellectual merit and broader impacts relative to the goals of the TRIPODS program, taking into account the reviews and ratings, the panel discussions and panel summary. The team also considered this proposal in relation to other proposals reviewed in this and other panels, the need to maintain appropriate balance among subfields, the total amount of funds available to the program for new proposals, and general Foundation policies._x000D_
_x000D_
I concur with the panel's overall assessment of this submission, and my recommendation is that this proposal be declined._x000D_
_x000D_
    _x000D_
Christopher W. Stark_x000D_
Program Officer_x000D_
Division of Mathematical Sciences_x000D_
_x000D_
On behalf of the TRIPODS Management Team_x000D_
</t>
  </si>
  <si>
    <t xml:space="preserve">In the context of the five review elements, please _x000D_
evaluate the strengths and weaknesses of the proposal with respect to intellectual merit._x000D_
_x000D_
Proposal focuses on scalability through compression, adaptive sampling, and distributed processing, new coding techniques for large data applications: multimedia streaming, distributed storage, and internet communication._x000D_
_x000D_
+Large-scale modeling and analysis - nice scientific applications - 'proposed research will produce physically relevant simulations of phenomena that evolve in timeà' Their actual plan for this revolves around working on a version of compressed data, which itself is not new, but I think there is room for learning/advancing through applications on this._x000D_
_x000D_
+ 'Scientists provide their expertise in choosing an appropriate criterionà' enters in interesting human-control-of-algorithms and real-world prior issues. This could be interesting. They appear to have collaboration plans in place._x000D_
_x000D_
- Proposal was overall stronger and more compelling in terms of applications than in the theory of data science_x000D_
_x000D_
_x000D_
In the context of the five review elements, please _x000D_
evaluate the strengths and weaknesses of the proposal with respect to broader impacts._x000D_
_x000D_
Proposed research activities are likely engage a broader audience._x000D_
_x000D_
Great proposed new courses - good practical modern cross-cutting practical but foundational content like security/ethics/algorithmic fairness and reproducibility._x000D_
_x000D_
They appear to have solid collaboration plans in place._x000D_
_x000D_
Please evaluate the strengths and _x000D_
weaknesses of the proposal with respect to any additional solicitation-specific review criteria, if _x000D_
applicable_x000D_
_x000D_
Some potential for synergy between the efforts._x000D_
_x000D_
Proposal plan was reasonable and well-organized._x000D_
_x000D_
Team and institution are proposing activities they have notable expertise and resources for._x000D_
_x000D_
Proposal was weak in proposing strong theoretical problems for theoretical data science._x000D_
_x000D_
Summary Statement_x000D_
_x000D_
Proposal focuses on scalability through compression and smarter sampling, and takes deeper, modern stabs at problems of continued practical importance, but is strongest in its application potential._x000D_
_x000D_
</t>
  </si>
  <si>
    <t xml:space="preserve">In the context of the five review elements, please _x000D_
evaluate the strengths and weaknesses of the proposal with respect to intellectual merit._x000D_
_x000D_
The proposal presents a plan for establishing the Midwest Institute in Data Driven Synergies (MiDS) at University of Nebraska-Lincoln to catalyze foundational developments in data science, bringing together mathematics, statistics and theoretical computer science. The proposed Phase I activities include foundational research in data science and development of new data science degree programs at the MS and undergraduate levels, resources for workforce development, and a regional consortium in collaboration with the Midwest Big Data Hub. An external and an internal advisory board will guide the developments._x000D_
_x000D_
The proposal identifies specific research topics under two main projects: (1) integrative data modeling and analysis, and (2) new coding techniques for applications. Project 1 will deal with the challenge of increasing the overall end-to-end performance of scientific workflows departing from the premise that in many applications only a representative part of data is essential in analysis and prediction. Project 2 will focus on reliable and efficient transmission, storage, and access to data. The PIs present a pretty detailed plan to tackle these problems and the proposed approaches generally come across as sound. The research outlined in the proposal also gets high marks for application awareness. My main quibble is that the research focus seems to be too narrow for a data science institute, perhaps due to the current level of activity in foundations of data science at the institution. This seems to be a group that could have benefited from teaming up with another institution to broaden the scope and increase the potential impact of the research activities. Another thing to note is that the proposal does not clearly describe how the research projects will create synergies among the three disciplines, nor the roles of the investigators in the projects.  _x000D_
_x000D_
The proposal includes annual workshops, perhaps preceded by short courses, but not enough details are provided. The budget suggests that the investment in these will not be so large.  Additionally, I do not see travel to conferences as a priority or as a good use of the limited resources when the key goal is to develop institute capability and capacity. Hosting meetings or other center-like activities seems far more important. The development of MS and undergraduate degree programs in data science is pretty well articulated. Other broad themes that are partially addressed in the proposal include lowering communication barriers amongst the three disciplines, study of streaming data, and interactions with industry._x000D_
_x000D_
In the context of the five review elements, please _x000D_
evaluate the strengths and weaknesses of the proposal with respect to broader impacts._x000D_
_x000D_
The PIs anticipate a significant impact of the proposed research on the biomedical sciences. However, the plan presented for such interactions is not structured at the level of an institute, perhaps more in line with a small-group research project. The proposed new programs at the MS and undergraduate levels are strengths of the proposal, but the roles of project personnel in these activities are only partially described. Outreach efforts and workforce development are mentioned in the broader impacts section of the proposal, but I do not see enough details._x000D_
_x000D_
Please evaluate the strengths and _x000D_
weaknesses of the proposal with respect to any additional solicitation-specific review criteria, if _x000D_
applicable_x000D_
_x000D_
The proposal presents research and training programs in foundations of data science, but I would have liked to see a more compelling argument that significant synergies among the disciplines will result from the proposed activities. The proposal addresses several broad themes: strengths and weaknesses were noted above. Workforce development is mentioned, but I find the topic somewhat underdeveloped. Similar remarks apply to proposed interactions with domains sciences and industry. The evaluation plan looks sound and well structured._x000D_
_x000D_
Summary Statement_x000D_
_x000D_
The proposed research is very interesting and potentially significant. However, the scope seems to be somewhat narrow to support the development of a data science institute. The educational component is strong, but the outreach component is more limited and several program-specific components are somewhat underdeveloped making it difficult to objectively assess the potential for success. I find the vision for foundations of data science lacking in several respects._x000D_
_x000D_
I rank this proposal in the bottom third of those I have read._x000D_
_x000D_
</t>
  </si>
  <si>
    <t xml:space="preserve">In the context of the five review elements, please _x000D_
evaluate the strengths and weaknesses of the proposal with respect to intellectual merit._x000D_
_x000D_
+ The proposal is well written and states its goals clearly_x000D_
+ It blends two aspects of data science: Data modeling and analysis (mainly statistical part) and compression (mainly computer science part)_x000D_
_x000D_
- The two components are somewhat disconnected._x000D_
- The first component is not quite innovative enough for this level of competitiveness_x000D_
- Both components fail to demonstrate the potential for novel aspects of data science_x000D_
- The mathematical component could be stronger_x000D_
_x000D_
In the context of the five review elements, please _x000D_
evaluate the strengths and weaknesses of the proposal with respect to broader impacts._x000D_
_x000D_
+ A good proposal regarding broader impacts with innovative outreach activities and educational plans._x000D_
- A bit perfunctory for a project of this size._x000D_
_x000D_
Please evaluate the strengths and _x000D_
weaknesses of the proposal with respect to any additional solicitation-specific review criteria, if _x000D_
applicable_x000D_
_x000D_
+ Evaluation plan is well thought out and budgeted for._x000D_
+ Budget towards yearly meetings is a good allocation funds_x000D_
_x000D_
Summary Statement_x000D_
_x000D_
The proposal falls short of describing a convincing research plan with a potential for impact on the fundamentals of data science._x000D_
_x000D_
</t>
  </si>
  <si>
    <t>The PIs propose the establishment of a Midwest Institute in Data Driven Synergies (MiDS) whose core mission will be to bring together the fields of Computer Science and Engineering, Mathematics, and Statistics in order to catalyze foundational developments in the field of Data Science. The development of MiDS is founded on the recognition that theoretical and methodological developments are needed in all three core disciplines. The best and most efficient way to achieve such developments is through synergistic activities focused on transdisciplinary research, education, and outreach. The objectives of MiDS during Phase I development are to conduct foundational research in data science that leverages expertise in Computer Science, Mathematics, and Statistics; develop and launch new degree programs in data science at the graduate (MS) and undergraduate (minor; 4+1) levels; provide scalable resources for workforce development; establish a regional consortium of experts in foundational data science in collaboration with the Midwest Big Data Hub; and build the capacity and capabilities required of a regional/national nexus in foundational data science. Each objective has associated aims/goals with clear benchmarks and a detailed plan for ongoing collaboration and evaluation. The development of MiDS will be lead by an investigative team with established expertise in all three disciplines. This team will receive guidance from an External Advisory Board consisting of nationally recognized experts in data science, and an Internal Advisory Board consisting of stakeholders from across the University of Nebraska system. By the completion of the award period the PIs expect MiDS to have established a track record of development and accomplishment and be well positioned for Phase II funding.The research activities of MiDS will focus initially on two major transdisciplinary challenges in data science. The first challenge is improved scalability and performance of overall end-to-end scientific work- flows in large scale integrative modeling and analysis. This foundational research will leverage recent advancements in dynamically adaptive numerical modeling and coupling of simulation and data analysis, with scalability through data compression, adaptive sampling, and distributed processing. The second challenge is development of new coding techniques for large data applications, in particular, multimedia streaming, distributed storage systems, and internet communication. The PIs propose new locally repairable, spatially coupled codes that will be developed by deep learning techniques and then combined with standard message passing decoding for optimal speed and efficiency. In addition, the educational activities of MiDS will yield new curricula in the foundations of data science for secondary schools, higher education and workforce development. A novel aspect of these curricula will be integration of material from Mathematics, Computer Science, and Statistics, and an emphasis on the transference of transdisciplinary knowledge.The MiDS institute will serve as a nexus for foundational data science activities in the Midwest. The institute will provide guidance to the broader community on addressing pressing challenges in data science including problem formulation, expertise identification, proposed plan of action, and evaluation of project progress. Broader impacts will be manifested through several initiatives, including new degree programs and workforce development.  A key component of the program will be a project-based course developed in the spirit of the Math in the City program offered in Mathematics, where students collaborate with local businesses and research centers to create and analyze models, and a data science module for the All Girls All Math program. The participating Departments already have many research and educational collaborations with non-academic entities across the Midwest and in the city of Lincoln, which hosts numerous software and data analytic start-up companies. The institute website, Distinguished Lecture Series, annual conference, and workshops will contribute to increased public scientific literacy and public engagement with STEM; these will be developed in collaboration with the UNL Scientific Literacy Initiative. The institute will also advance participation of underrepresented minorities through the BRAID Initiative, summer REU scholars, and the McNair Scholars program. MiDS will serve as a critical component to enhanced infrastructure for research and education in the Midwest.</t>
  </si>
  <si>
    <t>1740850</t>
  </si>
  <si>
    <t>Getoor</t>
  </si>
  <si>
    <t xml:space="preserve"> Panel Summary       
 Description: The research focuses on "algorithmic theory of incomplete, uncertain, heterogenous graphs". The stated themes are "Algorithms under uncertainty" and "Algorithms through uncertainty", where the latter refers often to adding noise towards improving privacy guarantees. _x000D_
Concretely, most of the algorithmic problems are in the context of testing graph properties, eg_x000D_
_x000D_
* designing (approximate) algorithms on such graphs_x000D_
* understanding heterogeneity_x000D_
* privacy in the context of graphs._x000D_
_x000D_
The center-building component includes:_x000D_
* yearly-themed programs, modeled after DIMACS or such._x000D_
* annual workshops_x000D_
* speaker series, including talks on DS in the larger societal contexts._x000D_
* teaching modules, including for high-school/early-college students._x000D_
_x000D_
_x000D_
Intellectual Merit: Approaching data science through a graph  theoretic viewpoint is a reasonable goal in the context of Tripods. _x000D_
_x000D_
Strengths _x000D_
_x000D_
+ would combine statistical techniques with computational ones and understand how noise works within graphs, developing models (over distributions) for approximating graph clusterings, community detection, and other graph properties_x000D_
_x000D_
+ relate these notions to privacy properties of algorithms  _x000D_
(building on differential privacy ideas), robustness, and associated questions in disclosure and privacy with associated computation._x000D_
_x000D_
Weaknesses _x000D_
_x000D_
- Panelists commented that the overall set of research problems is narrower than in several competing proposals, possibly due to a fairly small core group. _x000D_
_x000D_
_x000D_
Broader Impact: There would be a special focus on providing privacy and fairness guarantees to algorithms. _x000D_
_x000D_
The Tripods center would be based in Santa Cruz with some leveraging of an additional location in Silicon Valley. _x000D_
_x000D_
Proposed activities include:_x000D_
1) annual workshops_x000D_
2) speaker series_x000D_
3) curriculum development_x000D_
4) broadening participation._x000D_
_x000D_
Strengths _x000D_
_x000D_
+ efforts to involve women and minorities. The PI has a good track record in it. _x000D_
_x000D_
+ providing privacy guarantees on data science algorithms. _x000D_
_x000D_
+ teaching modules._x000D_
_x000D_
Weaknesses --None noted_x000D_
_x000D_
TRIPODS-specific criteria: _x000D_
 _x000D_
Proposal broadly meets the criteria of Tripods._x000D_
_x000D_
Strengths _x000D_
+ a cross-disciplinary group, especially including theoretical CS and statistics. _x000D_
+ addresses priority areas including privacy, fairness, design of algorithms under uncertainty etc._x000D_
+ good plans for an institute, and clear articulation of Phase II, including how it would interface_x000D_
with existing initiatives such as D3 and SVRDT. _x000D_
_x000D_
Weaknesses _x000D_
- Not as cross-disciplinary as several other proposals in the pool. The core group is somewhat small. The "math" component is smaller. _x000D_
_x000D_
_x000D_
_x000D_
Collaboration and Evaluation Plan: The collaboration plan is reasonable, though it mostly only restates the team members' expertise._x000D_
The plan for Phase II is convincing and makes a nice connection to other ongoing initiatives in Santa Cruz and the geographic area._x000D_
One concern is that the core team, especially Getoor, seem to be busy with some of these other initiative as well. Again, this could have been mitigated with a larger core team. _x000D_
_x000D_
Data Management Plan: No new data is created. Plans for release of software and other project materials are satisfactory._x000D_
_x000D_
Post-doctoral Mentoring Plan: The plan is good. _x000D_
_x000D_
_x000D_
Suggestions to PI: The proposal is well-written and the overall plan is good. It would have been stronger with a larger core team and (the consequently) a bigger research agenda. One possibility is to give a bigger role to the existing senior personnel, and involve them closely in Phase I and Phase II._x000D_
_x000D_
_x000D_
Justification for Panel Rating:  A well-written proposal that broadly meets the Tripods criteria, with some reservations as noted, which prevented it from rising to the top-few category._x000D_
_x000D_
Panel Rating:  _x000D_
_ Highly Recommended _x000D_
_x Recommended _x000D_
_ Not Recommended _x000D_
_x000D_
The summary was read by/to the panel and the panel concurred that the summary accurately reflects the panel discussion._x000D_
</t>
  </si>
  <si>
    <t>This project brings together researchers from mathematics, statistics, and computer science to develop a unified theory of data science applied to uncertain and heterogeneous graph and network data.  Most real-world applications of networks involve complex phenomena, such as socio-behavioral interactions, biological and/or chemical processes, technical systems like data centers, and communication systems for smart cities. These data are heterogeneous, including multiple modalities and multiple scales. Crucially, the data observed is often incomplete and very noisy.  A new foundation for data science needs to be built in order to address these challenges in the context of graph and network data.  Similarly, we lack a clear unified theory that allows us to understand how to quantify the uncertainty in the system that arises from the uncertainty in the relationships among its actors.  This is a fertile area for transdisciplinary collaboration between statisticians, mathematicians, and computer scientists, with strong impacts on industry, academia, government and broader society. _x000D_
_x000D_
This project centers around two research themes. In the first theme, the PIs will investigate models of algorithms on uncertain network data, and specifically combine techniques from sub-linear algorithms with Bayesian methods.  The second theme focuses on how algorithms can benefit from data uncertainty, in the context of privacy, disclosure, and robustness to noise. In both these themes, technical advances will be achieved by marrying computational approaches to uncertainty with statistical and mathematical approaches for uncertainty.  In addition to the research agenda, the project involves an ambitious vision for data science capabilities spanning academia to industry. The education aspects of this vision include a series of themed workshops and the development of comprehensive educational resources spanning secondary, undergraduate and advanced graduate materials. The project also involves collaboration between UC Santa Cruz and Silicon Valley companies that will ground our proposed theoretical and algorithmic advances with practical applications to real-world problems and data. Furthermore, these collaborations with industrial partners will lead to specialized workforce development.  Looking forward towards Phase II, the project aims to develop collaborations with industry partners and various academic institutions in the area to develop a Silicon Valley/Greater Bay Area Institute on Foundations of Data Science, potentially to be located at University of California Santa Cruz Silicon Valley campus in Santa Clara.  Funds for the project come from CISE Information Technology Research and MPS Division of Mathematical Sciences.</t>
  </si>
  <si>
    <t xml:space="preserve">Proposal ID: CCF 1740850_x000D_
PI: Lise Getoor_x000D_
Co-PIs: Abel Rodriguez, C. Seshadhri_x000D_
Institution: University of California-Santa Cruz_x000D_
Title:  TRIPODS: Towards a Unified Theory of Structure, Incompleteness &amp; Uncertainty in Heterogeneous Graphs_x000D_
_x000D_
Dear Professors Getoor, Rodriguez, and Seshadhri,_x000D_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July 13, 2017_x000D_
_x000D_
On behalf of the TRIPODS Management Team_x000D_
Nandini Kannan_x000D_
Tracy Kimbrel_x000D_
Jack Snoeyink_x000D_
Christopher Stark_x000D_
_x000D_
________________________________x000D_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V/G, V, and E respectively.  Based on the reviews and the panel deliberations, your proposal was placed in the Recommended category.     _x000D_
_x000D_
Topic: This proposal, from the University of California-Santa Cruz, seeks to create a Phase I TRIPODS Institute focused on "new foundations of data science for incomplete and uncertain heterogenous graphs."  _x000D_
_x000D_
The proposed research addresses important challenges related to understanding bias, robustness, and fairness when dealing with heterogeneous data.  The PIs describe two broad themes: (1) Algorithms under uncertainty, and (2) Algorithms through uncertainty.  Center-like activities for Phase I include yearly themed programs, workshops, speaker series, and development of teaching modules targeted at high-school/early-college students.  The project will leverage existing data science activities at UC Santa Cruz, including the Data, Discovery, and Decisions (D3) Data Science Research Center.  _x000D_
_x000D_
Intellectual Merit: The reviewers and panel agreed that the research addressed important challenges in data science through a graph theoretic point of view.  Some reviewers found the topics narrowly focused, but agreed that the scope seemed appropriate for a Phase I institute.  However, the reviewer who rated the proposal as Excellent appreciated the focus on an area that is "especially important and under-explored at the intersection with data science / big data".  _x000D_
_x000D_
The team includes investigators with excellent research records in foundations of data science, extensive interdisciplinary collaborations, and an established track record of training and mentoring.  However, reviewers felt that the project would benefit from having a larger research team, and more representation from Mathematics.  _x000D_
_x000D_
The UCSC's Silicon Valley Campus will host many of the educational and outreach activities.  The PI's will leverage the geographical location of this campus to enhance existing partnerships, and develop new connections, with local industry.  _x000D_
_x000D_
The panel viewed the topics related to statistical problems on graphs and privacy properties of algorithms as important research directions, and appreciated the leveraging of existing data science related infrastructure both within the UC Santa Cruz system and in the Bay area._x000D_
_x000D_
Broader Impacts:  The proposal lays out a detailed plan for education and outreach.  Teaching modules related to the yearly research themes will be produced, and plans to develop an interdisciplinary course on "Data Science Ethics and Fairness" are described.  _x000D_
_x000D_
The panel appreciated the focus on diversity and broadening participation.  PIs Getoor and Rodriguez have impressive records of mentoring women and first-generation Hispanic students.  Given the designation of UCSC as a Hispanic Serving Institution (HSI), the potential to recruit participants from groups underrepresented in STEM was viewed as a significant broader impact of the project.  The proposal also describes plans to develop teaching modules targeted at high-school students and a program to train high-school teachers to implement these concepts in their classrooms. _x000D_
_x000D_
TRIPODS-Specific Criteria:  _x000D_
_x000D_
Reviewers agreed that the proposal presented a well-integrated research and training program and the synergy between the members of the team was well-articulated.  The panel would have liked to see a bigger role for the senior personnel in the Phase I activities.  _x000D_
_x000D_
The panel found the collaboration and evaluation plan to be reasonable, with well-defined metrics for the research, education, and capacity building activities.  The proposal listed a number of center-like activities for Phase I and a well-developed plan for a potential Phase II "Silicon Valley/Greater Bay Area Institute on Foundations of Data Science" to be located at the UC Santa Cruz  Silicon Valley campus._x000D_
_x000D_
Summary and Rationale for Recommendation:  The TRIPODS Management Team noted the strong intellectual merit and excellent broader impacts of the project.  The research addressed foundational data science challenges, with an emphasis on the role of data science in society and issues related to ethics and the responsible use of data.  Given the existing initiatives and infrastructure at UC Santa Cruz, the Management Team agreed that the project was compelling and recommended an award at the requested level.  _x000D_
_x000D_
Recommendation: A three-year continuing award at the requested level of $1,500,000.  _x000D_
</t>
  </si>
  <si>
    <t xml:space="preserve">In the context of the five review elements, please _x000D_
evaluate the strengths and weaknesses of the proposal with respect to intellectual merit._x000D_
_x000D_
This proposal is very well developed and has a concrete, promising_x000D_
vision for an institute._x000D_
_x000D_
The research component is focused on_x000D_
"algorithmic theory of incomplete, uncertain, heterogenous graphs"._x000D_
_x000D_
The PIs lay out the more concrete directions for pushing this research_x000D_
direction:_x000D_
* defining hybrid models of graphs_x000D_
* designing (approximate) algorithms on such graphs_x000D_
* understanding heterogeneity_x000D_
* privacy in the context of graphs._x000D_
_x000D_
Themes are tied together well. They also clearly need expertise at_x000D_
least from TCS and Stats. (Pure) Math component is less evident. The_x000D_
topics could be a little too focused for an institute-level research_x000D_
program, but is of high-quality nonetheless._x000D_
_x000D_
The center-building component includes:_x000D_
* yearly-themed programs, modeled after DIMACS or such._x000D_
* annual workshops (first one in Nov'17!)_x000D_
* speaker series, including talks on DS in the larger societal_x000D_
contexts._x000D_
* teaching modules, including for high-school/early-college students._x000D_
_x000D_
_x000D_
In the context of the five review elements, please _x000D_
evaluate the strengths and weaknesses of the proposal with respect to broader impacts._x000D_
_x000D_
Teaching modules, especially for high-schoolers/not-deeply-in-STEM_x000D_
students, would be highly beneficial._x000D_
_x000D_
The PIs pay special attention to the role of DS in the society, and_x000D_
have activities that address this aspect: eg, speakers on ethical_x000D_
uses of DS or DS for social good; also Phase II plan for_x000D_
research&amp;training around ethical/responsible uses of DS. (Some of the_x000D_
PIs also have past experience in that!)_x000D_
_x000D_
The university is a Hispanic Serving Institution, and there's effort_x000D_
to cater to local minority groups._x000D_
_x000D_
_x000D_
Please evaluate the strengths and _x000D_
weaknesses of the proposal with respect to any additional solicitation-specific review criteria, if _x000D_
applicable_x000D_
_x000D_
The research and training feel particularly well-integrated. The_x000D_
proposal has a general vision, which is a big plus._x000D_
_x000D_
At least 2 disciplines are represented well (tcs and stats), and the_x000D_
research is truly inter-disciplinary. There's clear synergy._x000D_
_x000D_
The broad themes are addressed well._x000D_
_x000D_
Phase II is also addressed, though couldn't identify particularly_x000D_
outstanding items (beyond the plan to address ethical/responsible use_x000D_
of DS)._x000D_
_x000D_
_x000D_
Summary Statement_x000D_
_x000D_
Overall, this is a nice proposal with a clear vision of what the_x000D_
institute be about: heterogenous graphs. The research plan crosses 2_x000D_
disciplines tcs and stats and clearly benefits from synergy and_x000D_
transdisciplinarity of the institute. I would have given higher score_x000D_
if there was a more clear participation of math in the proposal,_x000D_
though. In the center-building category, noteworthy are DIMACS-modeled_x000D_
yearly-themed programs (which I think are a good idea), as well as_x000D_
teaching modules for pre-STEM students._x000D_
_x000D_
_x000D_
_x000D_
</t>
  </si>
  <si>
    <t xml:space="preserve">In the context of the five review elements, please _x000D_
evaluate the strengths and weaknesses of the proposal with respect to intellectual merit._x000D_
_x000D_
Assembles a team of three PIs from the three fields. The research program is structured around the themes of "Algorithms under uncertainty" and "Algorithms through uncertainty", with some special focus on privacy considerations. _x000D_
_x000D_
Research plan was detailed but not always convincing. Many problems were formulated from the starting point of property testing view of graph problems. It is not clear to me that this is a general enough vocabulary or compelling enough to be one of the central pillars of a data science institute. To be fair, the proposal tries to bring in other ideas from rest of data science so that the graph nodes have internal "structure" but this only serves to raise the question: why not study the rest of data science as well, instead of just thinking of it as side information to property testing on a graph? _x000D_
_x000D_
The discussion of statistical problems on graphs was more interesting; eg, studying privacy via the nonstationary markov processes, or using synthetic dataset to mitigate disclosure risk. _x000D_
_x000D_
Overall, the proposal has merits and the research outlined is important, even though I have some reservations about whether the agenda is ambitious enough for a Tripods center. _x000D_
_x000D_
_x000D_
_x000D_
_x000D_
_x000D_
In the context of the five review elements, please _x000D_
evaluate the strengths and weaknesses of the proposal with respect to broader impacts._x000D_
_x000D_
The broader impacts would be substantial. Especially the PI (Getoor) seems to have an impressive track record in mentoring, outreach, etc. and the proposed data science center ---with some presence in silicon valley ---seems great. There are also plans to have outreach to schoolers in Watsonville, which has a concentration of underrepresented groups. _x000D_
_x000D_
The proposed center would have annual workshop, which I found interesting and would probably finding them very stimulating. _x000D_
_x000D_
Dissemination of teaching modules related to data science is also a notable contribution. _x000D_
_x000D_
All of these are strengths of the proposal._x000D_
_x000D_
Please evaluate the strengths and _x000D_
weaknesses of the proposal with respect to any additional solicitation-specific review criteria, if _x000D_
applicable_x000D_
_x000D_
The proposal outlines a reasonable research agenda on data science and has a reasonable plan for a Tripods center. It does have components of theoretical CS and statistics, though not too much math. _x000D_
_x000D_
Though the proposal has strengths as mentioned above, I had some concerns about the precise team composition and the extent of the actual collaboration. Some of the mentioned team members on page 3 are senior personnel who get no formal support, and it was not easy to discern their role in the research proposal. Thus possibly the core team contains only 3 people, which seems a bit understaffed for a tripod center. _x000D_
_x000D_
The proposal would have been stronger in this respect if the team was larger and had a clearer and broader mission consistent with the tripods announcement._x000D_
_x000D_
Summary Statement_x000D_
_x000D_
A good research proposal with significant broader impacts, which could be stronger if some of the above-mentioned weaknesses were addressed._x000D_
_x000D_
</t>
  </si>
  <si>
    <t xml:space="preserve">In the context of the five review elements, please _x000D_
evaluate the strengths and weaknesses of the proposal with respect to intellectual merit._x000D_
_x000D_
This proposal addresses the area of heterogeneous and uncertain graph data.  This area is especially important and under-explored at the intersection with data science / big data given the practical importance in the case of real world graph data which is usually both heterogeneous and uncertain (e.g., different types of nodes, additional data associated with each node, uncertain or missing links, etc.)._x000D_
_x000D_
The PIs suggest approaching these problems by combining statistical techniques with computational ones with the goal of modeling data (graph) collection over a distribution to understand how noise works within graphs, developing models (over distributions) for approximating graph clusterings, community detection, and other graph properties.  In addition to focusing on these problems that attempt to address the weaknesses to existing algorithms formed by heterogeneous and/or uncertain data, the PIs suggest developing new analyses to take advantage of the uncertainty.  Such advantages of uncertainty could include privacy (building on differential privacy ideas), robustness, and associated questions in disclosure and privacy with associated computation.  These problems are important and well-formulated._x000D_
_x000D_
In the context of the five review elements, please _x000D_
evaluate the strengths and weaknesses of the proposal with respect to broader impacts._x000D_
_x000D_
The broader impacts proposed include:_x000D_
1) annual workshops_x000D_
2) speaker series_x000D_
3) curriculum development_x000D_
4) broadening participation_x000D_
These broader impacts are carefully thought out and the focus on broadening participation runs throughout these impacts (e.g., by giving preference to under-represented groups for travel funds to the workshops).  The PIs have the relevant experience to organize these events and have demonstrated success in broadening participation in data science._x000D_
_x000D_
Please evaluate the strengths and _x000D_
weaknesses of the proposal with respect to any additional solicitation-specific review criteria, if _x000D_
applicable_x000D_
_x000D_
The vision of a focused institute dedicated to network data science questions is well-formed and designed to provide clear structures for collaboration around common projects.  The vision for phase II (a Silicon Valley based data science institute) is also nicely articulated and compelling._x000D_
_x000D_
Summary Statement_x000D_
_x000D_
The proposed research would address important and understudied areas in large graph data.  The PIs have a demonstrated history in this research area, as well as the experience organizing conferences that is necessary to successfully create a data science institute._x000D_
_x000D_
</t>
  </si>
  <si>
    <t>This proposal brings together researchers from mathematics, statistics, and computer science to develop a unified theory of data science applied to uncertain and heterogeneous graph data. Most theoretical results assume complete data, and most statistical results assume a homogeneous sampling process, however these assumptions are rarely borne out in practice. Most real-world applications of networks involve complex phenomena, such as socio-behavioral interactions, biological and/or chemical processes, technical systems like data centers, and communication systems for smart cities. These data are heterogenous, including multiple modalities and multiple scales. Crucially, the data observed is incomplete and uncertain. We need to build new foundations of data science for incomplete and uncertain heterogenous graphs. This will be a fertile area for transdisciplinary collaboration between statisticians, mathematicians, and computer scientists, with strong impacts on industry, academia, government and broader society._x000D_
Our proposed research has two themes. In the first theme, we investigate models of algorithms on uncertain network data, and specifically combine techniques from sublinear algorithms with Bayesian methods. Our second theme focuses on how algorithms can benefit from data uncertainty, in the context of privacy, disclosure, and robustness to noise. In both these themes, technical advances will be achieved by marrying computational approaches to uncertainty with statistical and mathematical approaches for uncertainty. In addition to our research agenda, we propose an ambitious vision for data science capabilities spanning academia to industry. The education aspects of this vision include a series of themed workshops and the development of comprehensive educational resources spanning high-school, undergraduate and advanced graduate materials. Our plan involves collaboration between UC Santa Cruz and Silicon Valley companies. These interactions will ground our proposed theoretical and algorithmic advances with practical applications to real-world problems and data. Furthermore, our close collaborations with industrial partners will lead to specialized workforce development.Our aim is build a unified theory of data science for hetergeneous graphs that bridges observational data, incomplete data, and underlying generative processes in the domain of interest. This theory will require an interdisciplinary approach, combining machine learning, theoretical computer science and classical algorithmics, Bayesian statistics, and uncertainty quantification. Our contributions include developing new approaches that mix generative and randomized algorithms approaches for inference over incomplete graphs and a deeper understanding of uncertainty for desirable properties such as robustness and privacy.In addition to developing a unified framework for foundations for structure, incompleteness and uncertainty in heterogeneous graphs, the broader impacts of our proposed work include the development of a theoretical framework for responsible data science. Responsible data science includes understanding the basic data science concepts of bias, fairness, privacy, the curse of dimensionality, and robustness. However, in the context of heterogeneous and incomplete graph data, these concepts need to be revisited. We need new theory that integrates the core mathematical and statistical challenges with an ethical framework that questions the utility of data science algorithms. Our broader impacts also include an educational component, with outreach to K12 students, workforce development strategy through collaboration with Silicon Valley companies, and a focus on broadening participation by underrepresented groups in STEM.</t>
  </si>
  <si>
    <t>1740851</t>
  </si>
  <si>
    <t>Baldi</t>
  </si>
  <si>
    <t xml:space="preserve"> Panel Summary       
  Description:_x000D_
------------_x000D_
_x000D_
"UCI Trans-disciplinary Research Institute _x000D_
 in Principle of Data Science: Deep Learning"_x000D_
_x000D_
The research plan focuses on deep learning with four themes: The Complexity and Design Frontier, Learning in the Machine Frontier, Scalable Bayesian Modeling Frontier, and the Numeric versus Symbolic Frontier. The education and outreach activities leverage existing data science initiatives at UCI._x000D_
_x000D_
_x000D_
Intellectual Merit:_x000D_
-------------------_x000D_
_x000D_
This proposal consists of four projects, including theoretical study of auto-encoders and design of recursive models for learning, investigating learning algorithms for neural nets, designing efficient Hamiltonian Monte Carlo algorithms for Bayesian computation, and understanding the integration of symbolic and connectionist approaches to AI. All these projects are important and interesting, and they are very likely to be successful. _x000D_
_x000D_
Although the proposal is led by a solid team with a history of multidisciplinary contributions, the proposal does not spell out strong synergies between theoretical computer science, mathematics, and statistics. The proposal focus on deep learning appears too narrow because it leaves little room for mining the three disciplines for more traditional but potentially very rich ideas that could provide support for deep learning. _x000D_
_x000D_
Strengths _x000D_
+ Strong PI with a solid history of trans-disciplinary work _x000D_
+ Important theme and useful research topics _x000D_
_x000D_
Weaknesses _x000D_
- Deep learning focus may be too narrow to expose synergies._x000D_
_x000D_
_x000D_
Broader Impact:_x000D_
---------------_x000D_
_x000D_
The proposed activities will be carried out with the UCI Data Science Initiative and the Machine Learning and Physical Science Program. The proposal has a clear plan for establishing research infrastructure, workforce development infrastructure, and innovation ecosystem infrastructure. It would have been nice to see an expanded description of activities with some new interdisciplinary courses and industry engagement. _x000D_
_x000D_
Strengths _x000D_
+ The proposal smartly leverage existing UCI initiatives _x000D_
_x000D_
Weaknesses _x000D_
- The proposal lacks an expanded descriptions of the activities._x000D_
_x000D_
_x000D_
TRIPODS-specific criteria:_x000D_
--------------------------_x000D_
_x000D_
The Institute has a good structure both geographically and administratively with the director and co-directors drawn from the three communities. There is a nice three-fold goal, sustainable research infrastructure, scalable workforce development and scalable innovation ecosystem. _x000D_
_x000D_
Strengths _x000D_
+ Good institute structure and goals _x000D_
_x000D_
Weaknesses _x000D_
- Limited focus_x000D_
_x000D_
_x000D_
Collaboration and Evaluation Plan:_x000D_
----------------------------------_x000D_
_x000D_
The collaboration plan outlines three goals: sustainable research infrastructure, scalable workforce development and scalable innovation ecosystem. _x000D_
_x000D_
The strong (but maybe too generic) evaluation plan is headed by a representative from SmartStart Evaluation and Research, an outside organization that specializes in evaluating academic organizations. _x000D_
_x000D_
_x000D_
_x000D_
Data Management Plan:_x000D_
---------------------_x000D_
_x000D_
Data sharing and archiving will be ensured through contributions to public data and code repositories. Further archiving will be entrusted to the University of California Curation Center._x000D_
_x000D_
_x000D_
_x000D_
Justification for Panel Rating:_x000D_
-------------------------------_x000D_
_x000D_
Despite proposing good and useful research, the limited focus of the proposal on deep learning prevents it from convincingly addressing any of the broad themes from the solicitation. _x000D_
_x000D_
_x000D_
Panel Rating:_x000D_
-------------_x000D_
_ Highly Recommended _x000D_
_ Recommended _x000D_
X Not Recommended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</si>
  <si>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is led by a solid PI with a history of multidisciplinary contributions. The research plan is organized in four frontiers. Each of these has the potential to involve multidisciplinary research and develop synergies (see table, section 7.)   Progress on these frontiers might provide good elements for a phase 2 center._x000D_
_x000D_
In the context of the five review elements, please _x000D_
evaluate the strengths and weaknesses of the proposal with respect to broader impacts._x000D_
_x000D_
The proposal seeks broader impact via the usual educational means of a large university (integration with existing data science developments on campus.) The list of the activities and their calendar is to be determined in the future. While it is plausible that they will come up with a good set of activities, the proposal gives very little to evaluate in this respect._x000D_
_x000D_
Please evaluate the strengths and _x000D_
weaknesses of the proposal with respect to any additional solicitation-specific review criteria, if _x000D_
applicable_x000D_
_x000D_
Little is said about the preparation of a phase 2 proposal. Nevertheless, the scientific outcomes of the proposed research may be useful additions to a broader phase 2 proposal. The evaluation plan is detailed but does not feel very specific to this proposal._x000D_
_x000D_
Summary Statement_x000D_
_x000D_
This project contains useful research items which may become useful components for a phase 2 proposal. The broader impacts are achieved through the existing data science initiatives at UCI. The proposers envision additional outreach activities but do not spell them out precisely._x000D_
_x000D_
</t>
  </si>
  <si>
    <t xml:space="preserve">In the context of the five review elements, please _x000D_
evaluate the strengths and weaknesses of the proposal with respect to intellectual merit._x000D_
_x000D_
The PIs propose a institute named TRIPODS after the program at the University of California-Irvine. The focus will be on deep learning, broadly defined, with four areas they call frontiers: The Complexity and Design Frontier, Learning in the Machine Frontier, Scalable Bayesian Modeling Frontier and the Numeric versus Symbolic Frontier._x000D_
_x000D_
The Complexity and Design Frontier: Really two different areas, the first focuses on proving the power of simpler models with an emphasis on autoencoders. The design frontier hits the big challenge of finding a systematics approach to designing the deep learning architecture._x000D_
_x000D_
The Learning in the Machine Frontier is about the learning algorithms, specifically here about local learning rules in feed-forward architectures. The Scalable Bayesian Modeling Frontier is about sampling and the Numeric versus Symbolic Frontier has some interesting hybrid approaches to optimization._x000D_
_x000D_
The PIs have experience in these areas and certainly will generate good research. The deep learning viewpoint may be a bit narrow for a TRIPODS institute and there is limited theoretical computer science, mostly just theoretical ML._x000D_
_x000D_
_x000D_
In the context of the five review elements, please _x000D_
evaluate the strengths and weaknesses of the proposal with respect to broader impacts._x000D_
_x000D_
The broader impacts are rather limited, talking about the importance of data science across UCI and society, training data scientists through short courses and data-hackathons, and short certificate courses. Would have been nice to see an expanded description of activities with some new interdisciplinary courses and industry engagement. _x000D_
_x000D_
_x000D_
Please evaluate the strengths and _x000D_
weaknesses of the proposal with respect to any additional solicitation-specific review criteria, if _x000D_
applicable_x000D_
_x000D_
The Institute has a good structure both geographically and administratively with the director and co-directors drawn from the three communities. There is a nice three-fold goal, sustainable research infrastructure, scalable workforce development and scalable innovation ecosystem. There is a strong evaluation plan headed by a representative from SmartStart Evaluation and Research, an outside organization that specializes in evaluating academic organizations._x000D_
_x000D_
The institute has a limited focus on just machine learning, particularly in phase 1, and doesn't really address any of the broad themes from the solicitation. There is some some reasonable synergy in some of the topics, particularly the Numeric versus Symbolic Frontier but the theoretical CS aspect is limited to ML theory._x000D_
_x000D_
_x000D_
Summary Statement_x000D_
_x000D_
Some interesting research ideas in deep learning, but lacks the breadth in both a research agenda and broader impacts that one would expect for a TRIPODS institute._x000D_
_x000D_
_x000D_
</t>
  </si>
  <si>
    <t xml:space="preserve">In the context of the five review elements, please _x000D_
evaluate the strengths and weaknesses of the proposal with respect to intellectual merit._x000D_
_x000D_
This proposal consists of four projects, including theoretical study of auto-encoders and design of recursive models for learning, investigating learning algorithms for neural nets, designing efficient Hamiltonian Monte Carlo algorithms for Bayesian computation, and understanding the integration of symbolic and connectionist approaches to AI. All these projects are important and interesting, and they are very likely to be successful. _x000D_
_x000D_
However, the synergy between theoretical computer science, mathematics, and statistics is not particularly strong. As important and fundamental as the four projects are, their scope appears a bit narrow, and they do not seem to address the general theoretical foundation of data science._x000D_
_x000D_
In the context of the five review elements, please _x000D_
evaluate the strengths and weaknesses of the proposal with respect to broader impacts._x000D_
_x000D_
The proposed activities will be carried out with the UCI Data Science Initiative and the Machine Learning and Physical Science Program. The proposal has a clear plan for establishing research infrastructure, workforce development infrastructure, and innovation ecosystem infrastructure._x000D_
_x000D_
Please evaluate the strengths and _x000D_
weaknesses of the proposal with respect to any additional solicitation-specific review criteria, if _x000D_
applicable_x000D_
_x000D_
The proposed research projects are very important for machine learning in general, and deep learning in particular. However, the synergy between theoretical computer science, math, and statistics is not particularly strong. The PIs may want to broaden their scope to the broader field of data science, and focus on developing unified theoretical foundations of data science._x000D_
_x000D_
Summary Statement_x000D_
_x000D_
This is a good proposal with clearly defined research problems and plans for education, training and outreach. The interactions between CS, math and stat need to be strengthened, and the research activities may need to focus more on developing general theoretical foundations of data science._x000D_
_x000D_
</t>
  </si>
  <si>
    <t>Modern scientific research is increasingly data-driven. The routine generation of petabytes and exabytes of scientific data means that it is critically important to develop principles and foundations for data science, and to train future generations of researchers that are "data fluent". We plan to create an organizational structure for interdisciplinary research of a substantial and long-term nature on the foundations and principles of data science. We propose to establish a new Trandisciplinary Research Institute in Principles of Data Science (TRIPODS) spanning the disciplines of computer science, mathematics, and statistics at the University of California, Irvine (UCI). While we fully recognize that data science requires conducting research in multiple areas along a complex pipeline ranging from data acquisition, to data analytics, to data dissemination, in this first phase the main research focus will be on data analytics, and more specifically on the foundations of deep learning which has emerged as one of the key conceptual frameworks for data science. However, within this research focus, we will consider deep learning construed in its broadest terms, to include any learning system comprised of multiple, hierarchically organized, adaptive stages, such as deep neural networks, deep belief networks, and Bayesian hierarchical models. The research efforts will be articulated along four synergistic frontiers: complexity and design, learning in the machine, scalable Bayesian modeling, and numeric versus symbolic, crosscut by methods of probability, geometry, group theory, information theory, and others._x000D_
_x000D_
The Institute will vigorously engage in research and training activities, leveraging unique and synergistic features of the UCI campus, including colocation of the Departments of Computer Science and Statistics in the same School of Information and Computer Sciences and in the same building, in close proximity to the Department of Mathematics, as well as existing strong interdisciplinary programs in various aspects of data science, including a major campus-wide Data Science initiative, a National Science Foundation (NSF/NRT) Graduate Training Program on Machine Learning and Physical Sciences. Research and education efforts will be carried in a rich environment of existing and expanding collaborations between the three departments and between the members of the proposed Institute, a rich environment of applications to virtually all areas of science and engineering, with an emphasis of problems from the natural sciences, and the strong culture of diversity and inclusiveness that is one of the hallmarks of the University of California, Irvine.The research conducted by the Institute will contribute to fundamental new knowledge in data science, including the development of new techniques and algorithms in machine learning at the intersection of statistics, mathematics, and computer science.The research pursued by the Institute will have potentially far-reaching societal benefits, ranging from developing new statistical techniques to better predict the effect of regional climate change on water and food supplies, to developing new machine-learning algorithms for predicting chemical reactions with applications to medical drug development. From an educational viewpoint, the Institute will contribute to the education of a new generation of data scientists. Moreover, after graduation, students from this program will have both the technical and team-science skills to be leaders in the emerging field of data science, and to participate in and lead interdisciplinary research teams at national laboratories, in academia, and industry labs. Finally, as part of the UCI data science initiative, the Institute will contribute to a vigorous program to recruit diverse students and engage traditionally underrepresented communities in this important research program._x000D_
_x000D_
Keywords: data science; machine learning; deep learning; team science; science communication</t>
  </si>
  <si>
    <t>1740852</t>
  </si>
  <si>
    <t xml:space="preserve">In the context of the five review elements, please _x000D_
evaluate the strengths and weaknesses of the proposal with respect to intellectual merit._x000D_
_x000D_
The research part of the proposal is focused on :_x000D_
* spaces of random complex objects_x000D_
* dynamic networks_x000D_
* multi-scale methods _x000D_
_x000D_
These topics integrate well the disciplines of stats and math. The_x000D_
integration of TCS is not particularly clear: there's a discussion_x000D_
with regards to connection to Laplacians of graphs (which is a big_x000D_
theme in TCS), but seems tangential to the main goals (explicit_x000D_
collaboration of multi-scale methods and TCS perspective is already_x000D_
covered in a different NSF grant, which is perhaps why it is not_x000D_
emphasized more strongly). _x000D_
_x000D_
Overall it was hard for me to identify a punchline of the proposed_x000D_
research and why it is foundational (even if it seems interesting by_x000D_
itself). Some of the themes felt merely to be either in the "hitting_x000D_
it harder" category, or not detailed enough. _x000D_
_x000D_
Center building is comprised of:_x000D_
* training of students_x000D_
* curriculum development. a qualm here (confirming an earlier point)_x000D_
is that TCS topics are sorely missing in the detailed list of_x000D_
subjects: even if PIs consider Laplacian system solvers impractical,_x000D_
there are many highly relevant topics in TCS/algorithms which are practical._x000D_
* data science boot camp_x000D_
* colloquia_x000D_
_x000D_
In the context of the five review elements, please _x000D_
evaluate the strengths and weaknesses of the proposal with respect to broader impacts._x000D_
_x000D_
BI: besides the center-building activities, there's also:_x000D_
* outreach to undergrads (including inviting some to the data science_x000D_
boot camp, which is cool)_x000D_
* instruction of ethics at the workshops._x000D_
_x000D_
_x000D_
Please evaluate the strengths and _x000D_
weaknesses of the proposal with respect to any additional solicitation-specific review criteria, if _x000D_
applicable_x000D_
_x000D_
The research and traning is reasonably well integrated._x000D_
There is natural synergy among the disciplines that are well_x000D_
represented, namely statistics and math. TCS is not particularly_x000D_
strongly emphasized, which I view as a defficiency of this proposal._x000D_
_x000D_
The broad themes are addressed well, with outreach at many levels_x000D_
(team, campus, and beyond)._x000D_
_x000D_
Collaboration is described well, with the goal of at least one_x000D_
collaboration per team member. Also they commit to establishing_x000D_
regular forums of interaction._x000D_
_x000D_
A holistic vision for the institute wasn't quite clear to me (despite_x000D_
PIs' clear efforts to address it)._x000D_
_x000D_
_x000D_
Summary Statement_x000D_
_x000D_
Overall, this is a sound proposal which combines well the disciplines_x000D_
of statistics and mathematics. Some of the topics are interesting,_x000D_
though it is not quite clear to me that they tie into a clear unique_x000D_
vision. TCS component is also underrepresented._x000D_
_x000D_
_x000D_
</t>
  </si>
  <si>
    <t xml:space="preserve">In the context of the five review elements, please _x000D_
evaluate the strengths and weaknesses of the proposal with respect to intellectual merit._x000D_
_x000D_
Proposal focuses on 'analysis of complex data objects' including high-d geometric data, dynamic networks, and multi-res methods._x000D_
_x000D_
Specifics include graph Laplacian algorithms, Frechet regression, stochastic convex hulls and outlier detection, sparsity in dynamic networks, and tensor models, Tukey depth. _x000D_
_x000D_
The specifics were fun to read about, and some of the efforts could potentially be impactful, but a lot of the dots were missing in a way that made me less certain there really is an underlying picture that these dots could connect._x000D_
_x000D_
Covariability: propose extending regression models to pairs (X,Y) where X is  a random p-vector and Y is a random complex object. Sounds like structured predictionà.  but then they suggest minimizing a weighted Frechet mean (as opposed to the usual squared loss - so this appears to be about generalizing the empirical loss in fitting models for predicting/estimating random complex objects, but then their connection to the special case of multiple linear regression doesn't make sense as in their proposal they arg min over the abstract space, not over a function that could map X to the abstract space, so at the end of the day, it wasn't clear to me what they were proposing to solve here and why it would be impactful. _x000D_
_x000D_
Complex PCA: They propose extending PCA to more abstract spaces to measure principal modes of variability, by approximating a complex Y in a low-dim space by minimizing E[d^2(Y, g(f(Y))]. This is fine, but how would it differ from any other low-dimensional linear/nonlinear embedding of complex objects which already solves that very problem? This echoes later work proposed for investigating more complex multi-resolutional/structured-approximations, but that work (2.3.1) calls for sparsity. Why? We've been doing sparsity for 15+ years now, and it's not clear it's gotten us that far - in particular you have to be incredibly sparse (painfully so) to get 'interpretability', and you can get the same low-d/simple representations out of nonlinear-style discriminative embeddings, unclear what the value is in the proposed._x000D_
_x000D_
Network-guided dynamic regression - nice beautiful equations, why will it work better than LSTM-like architectures?_x000D_
_x000D_
High performance sparse/graph computations - great to see the team leveraging  their work on BLAS libraries, but not clear this is going to be highly impactful._x000D_
_x000D_
_x000D_
_x000D_
_x000D_
In the context of the five review elements, please _x000D_
evaluate the strengths and weaknesses of the proposal with respect to broader impacts._x000D_
_x000D_
Not clear if proposed research directions would particularly excite and engage broader audiences. _x000D_
_x000D_
Proposal plan was reasonable and well-organized._x000D_
_x000D_
Team and institution are proposing activities they have notable expertise and resources for._x000D_
_x000D_
Their proposed core data science program is okay, but some of the choices are not as modern as I might hope for. For example, specifically lists covering conjugate gradient method and compressed sensing, but not stochastic gradient methods, which are simple and used in the majority of real-world ML systems, and certainly have an intellectual richness to them that crosses stats-CS boundaries._x000D_
_x000D_
Please evaluate the strengths and _x000D_
weaknesses of the proposal with respect to any additional solicitation-specific review criteria, if _x000D_
applicable_x000D_
_x000D_
Would have liked to see clearer synergistic efforts, and more forward-looking research._x000D_
_x000D_
Summary Statement_x000D_
_x000D_
Solid research questions, but not clear how they would lead to advances over the current state of the art, or inspire cross-cutting work._x000D_
_x000D_
</t>
  </si>
  <si>
    <t xml:space="preserve">In the context of the five review elements, please _x000D_
evaluate the strengths and weaknesses of the proposal with respect to intellectual merit._x000D_
_x000D_
The proposed work is a new institute, Santa Barbara Institute for Data Theory, leveraging local resources like the Kavli Center. _x000D_
_x000D_
The research directions proposed:_x000D_
- spaces of random complex objects, _x000D_
-  dynamic networks (in particular, integrated multiple model types) , and _x000D_
- multilevel/ multiscale methods including sparse methods, linear algebra, etc. _x000D_
There is list of questions of interest, but no overarching theme._x000D_
_x000D_
Strengths:_x000D_
- Some of the proposed directions and problems are interesting. _x000D_
- Detailed plan for synergy with education and local entities. _x000D_
_x000D_
Weaknesses:_x000D_
-  The overarching theme can be broader. and needs to emphasize foundational challenges. Several directions PIs propose appear derivative, not transformative. _x000D_
- The Statistics aspects needs to  be strengthened and theory TCS components need to be expanded._x000D_
_x000D_
In the context of the five review elements, please _x000D_
evaluate the strengths and weaknesses of the proposal with respect to broader impacts._x000D_
_x000D_
Strengths:_x000D_
-  Interesting research along some of the proposed directions will impact multiple disciplines._x000D_
-  Has detailed educational, operational and outreach component. _x000D_
_x000D_
Weaknesses:_x000D_
ù Some significant effort to get useful methods out to external world by code via collaboration with other labs will be interesting._x000D_
_x000D_
Please evaluate the strengths and _x000D_
weaknesses of the proposal with respect to any additional solicitation-specific review criteria, if _x000D_
applicable_x000D_
_x000D_
Strengths:_x000D_
-  Organization details and integrated education is well planned. _x000D_
-  Some interesting problems. _x000D_
_x000D_
Weaknesses: _x000D_
- The proposal does not articulate a central vision or challenge, and the problems addressed appear derivative. _x000D_
- The proposed research does not integrate Math, Stats and Theory CS expertise or agenda. _x000D_
- Connections to industry can be strengthened._x000D_
_x000D_
Summary Statement_x000D_
_x000D_
The proposed research directions are interesting, but appear derivative. More visionary or large themed approach to data science with statistical components and empirical data connections will be interesting. PIs  describe detailed curricula and training work._x000D_
_x000D_
</t>
  </si>
  <si>
    <t>The main objectives of the Santa Barbara Institute for Data Theory (SBIDT) will be to conduct collaborative research in theoretical data science, to organize and host focused short-term research programs in the theoretical foundations of data science, and to provide support and training for PhD students across the three core departments of Mathematics, Computer Science, and Statistics and Applied Probability at UCSB. All the Phase I activities of SBIDT will be designed to prototype the activities, and build the capabilities and capacity, of a Phase II institute. Beginning in Phase I, weekly research meetings, a regular data science colloquium and an annual week-long workshop will be held to facilitate the progress of the collaborative research projects and stimulate discussions of new ideas in data science theory; Phase II will see an expansion of each such effort. These venues will also serve to enrich the educational experience of the PhD students by exposing them to relevant data science topics outside of their own discipline. PhD students affiliated with SBIDT will earn an emphasis in Data Science by completing a common core of six courses, two from each department, in addition to course requirements in their home department. By Phase II, the degree emphasis is anticipated to transition into a degree program.Research projects involving SBIDT faculty will advance knowledge in data science by focusing on common foundational elements involving the analysis of complex data objects. This research will shed new light on questions related to high-dimensional geometric data, dynamic networks and multi-resolution methods. The SBIDT faculty members, motivated by extensive collaborative experience in data science applications and equipped with a rm track record of theoretical contributions in their respective domains, are strongly positioned to push this agenda forward. By fusing these strengths across three core disciplines, the areas of statistical inference and modeling, computational tools and complexity, and mathematical algorithms and constructs will allow for more complete methods and theory, leading to more reliable and detailed analyses in application areas of data science. Furthermore, the interdisciplinary training of PhD students in data science theory is an important effort which will shape the future direction of research, at UCSB and beyond.The principal aims of the SBIDT outreach efforts are to benefit underrepresented minorities and increase professional development and research opportunities for STEM undergraduates at UCSB. By partnering with established and successful undergraduate-serving programs at UCSB, such as the Society for the Advancement of Chicanos and Native Americans in Science, the Center for Science and Engineering Partnerships, and the Data Science club, undergraduates interested in data science will have access to important career development and professional skills training, while also benefitting from interaction with SBIDT faculty and PhD students through SBIDT's boot camps, workshops and other events. Additionally, measures will be taken to expand interactions related to data science between relevant personnel (both faculty and students) at UCSB and multiple nearby Cal State University campuses. By leveraging natural connections with UCSB alumni on these campuses, the influence of SBIDT-driven data science activity will be broadened considerably.</t>
  </si>
  <si>
    <t>1740854</t>
  </si>
  <si>
    <t>Gao</t>
  </si>
  <si>
    <t xml:space="preserve">In the context of the five review elements, please _x000D_
evaluate the strengths and weaknesses of the proposal with respect to intellectual merit._x000D_
_x000D_
The PIs propose an Institute for Neural Networks focusing mainly on Convolutional Neural Networks and how best to choose the various parameters and tools to optimizing the weights.  The parameters include the basic architecture of the CNN as well as size and structure of the receptors (convolution part) and feature maps. To optimize the PIs will use various approaches including changing resolutions which reminds me of simulated annealing, sharing weights and proper initialization of weights. The PIs will also focus on algorithmic improvements to optimizing weights as well as pooling, regularization and dropout to improve weights and avoid overfitting._x000D_
_x000D_
Two concerns: Focusing on CNNs may be a bit narrow for a Tripods grant and the research just seems more incremental than transformative, particularly in an area where you compete not just against other universities but companies like Google and Facebook as well._x000D_
_x000D_
Representation from the math and statistics community are good but limited representation in theoretical computer science. The researchers are solid in these communities._x000D_
_x000D_
The proposal does not hit on the research elements of the broad themes though it does cover a bit on curricula._x000D_
_x000D_
_x000D_
In the context of the five review elements, please _x000D_
evaluate the strengths and weaknesses of the proposal with respect to broader impacts._x000D_
_x000D_
On the education side, the proposal would develop a series of courses across different departments focusing on general data science and machine learning, CNNs in particular and image analysis. They will also develop a Masters program._x000D_
_x000D_
The outreach program focuses on mentorship, team projects and graduate training. Very little mention is given to industrial outreach._x000D_
_x000D_
_x000D_
Please evaluate the strengths and _x000D_
weaknesses of the proposal with respect to any additional solicitation-specific review criteria, if _x000D_
applicable_x000D_
_x000D_
The structure of the center, located solely at the University of Idaho, is well designed with an institute director and three core directors in research, education, and incubation and outreach. There is only a limited plan for phase II which really should include other universities in the Northwest._x000D_
_x000D_
The institute is a bit narrow, focusing mostly on CNNs and not a major theoretical computer science presence. No real vision for foundations of data science. _x000D_
_x000D_
The well thought-out assessment plan is by data collection and surveys by the outreach core director._x000D_
_x000D_
_x000D_
Summary Statement_x000D_
_x000D_
The proposal is for an institute that focuses on convolutional neural networks, certainly an important and powerful tool in data science, but the proposal lacks the breadth, synergy and vision that one would expects for a Tripods institute. _x000D_
_x000D_
_x000D_
</t>
  </si>
  <si>
    <t xml:space="preserve">In the context of the five review elements, please _x000D_
evaluate the strengths and weaknesses of the proposal with respect to intellectual merit._x000D_
_x000D_
The PIs The investigators propose to establish an Institute for Neural Networks (INN) at the University of Idaho.  The main objectives are: 1) to establish a high quality research center developing novel methods and state-of-the-art algorithms for big data analysis; 2) to develop a permanent program for graduate data science education at the University of Idaho; 3) to train workforce on data science, and to incubate start-up data analysis companies for the state of Idaho; and 4) to establish collaboration partnership with other institutes with different strengths to tackle fundamental problems in data science.  The institute will contain three cores: a research core focusing on research in Convolutional Neural Network (CNN), an education core which will develop new courses and a new Master Program in Data Science, and an Incubator and Outreach Core that will conduct workforce training as well as integrations with industry and other institutions._x000D_
_x000D_
The proposed work is very much interdisciplinary, with problems that require expertise from a team of researchers with different backgrounds. Overall, the research focus is a bit narrow, and the discussion on the research is a bit short.  The approach seems to be more from mathematics and probabilistic side.  While I believe the PIs will be able to make some progress, but it is not clear to me how much major advancement they can make in the proposed direction._x000D_
_x000D_
The institute is well structured, with three cores on research, education, and outreach._x000D_
_x000D_
The center activities seem to be more focused within the institution.  Although the proposal talks about impact to the Northwest region of the America,  I did not see evidence how that impact would take place. The idea of industrial partnerships was mentioned, but no detail was provided._x000D_
_x000D_
In the context of the five review elements, please _x000D_
evaluate the strengths and weaknesses of the proposal with respect to broader impacts._x000D_
_x000D_
The proposal talks about broader impacts in (1) producing fundamental research on data science, specialized in neural networks, (2) education and workforce training in  data science, and (3) acting as an incubator of ideas and diversity in Idaho and the northwest region of the United States, and bridges the research community of the university and industries in the region.  _x000D_
_x000D_
From the proposed activities, I see good impacts on training and outreach, but mainly within institution. The idea of incubator is great, but I did not see any detail or name of potential partners._x000D_
_x000D_
_x000D_
Please evaluate the strengths and _x000D_
weaknesses of the proposal with respect to any additional solicitation-specific review criteria, if _x000D_
applicable_x000D_
_x000D_
The institute is well-structured with three cores.  The team does include researchers from the three communities, with PIs complementary expertise._x000D_
The interaction with domain sciences is good, but not much is provided for communications with industry._x000D_
_x000D_
The workforce development is mainly at the Masters' level, and I don't see integration of research and training.  The evaluation plan is detailed._x000D_
_x000D_
Summary Statement_x000D_
_x000D_
An interesting proposal focusing on the timely topic of neural networks.  The proposed institute is well structured, and it does have potential to impact the region as indicated. The research part could be broader and more thoroughly explained.  More evidence on the partnership with industry will be appreciated._x000D_
_x000D_
</t>
  </si>
  <si>
    <t xml:space="preserve">In the context of the five review elements, please _x000D_
evaluate the strengths and weaknesses of the proposal with respect to intellectual merit._x000D_
_x000D_
Strengths: _x000D_
_x000D_
+ The proposal is centered around neural networks, especially convolutional neural networks (CNN), in deep learning. _x000D_
_x000D_
Weaknesses: _x000D_
_x000D_
- It is not clear whether the PIs will be able to achieve a deep theoretical understanding of CNN. _x000D_
_x000D_
- The proposed research activities appear quite narrow, and do not seem to address the foundational issues of data science._x000D_
_x000D_
In the context of the five review elements, please _x000D_
evaluate the strengths and weaknesses of the proposal with respect to broader impacts._x000D_
_x000D_
Strengths: _x000D_
_x000D_
+ The proposal describes training and education activities. _x000D_
_x000D_
Weaknesses: _x000D_
_x000D_
- The management, organization, outreach activities are not strong._x000D_
_x000D_
Please evaluate the strengths and _x000D_
weaknesses of the proposal with respect to any additional solicitation-specific review criteria, if _x000D_
applicable_x000D_
_x000D_
Strengths: _x000D_
_x000D_
+ The proposed research deals with important problems in deep learning. _x000D_
_x000D_
Weaknesses: _x000D_
_x000D_
- The focus on CNN can be quite narrow. The proposal does not address the foundational issues of data science. _x000D_
_x000D_
- The synergy between CS, math and stat is not strong._x000D_
_x000D_
- The institutional center-like activities are not strong._x000D_
_x000D_
Summary Statement_x000D_
_x000D_
The PIs may consider broadening the scope of the proposed activities, and strengthening the synergies between theoretical CS, math and stat._x000D_
_x000D_
</t>
  </si>
  <si>
    <t>The investigators propose to establish an institute for neural networks in the geographic center of northwest United States with the following four main objectives: 1) to establish a high quality research center developing novel methods and state-of-the-art algorithms for big data analysis; 2) to develop a permanent program for graduate data science education at the University of Idaho; 3) to train workforce on data science, and to incubate start-up data analysis companies for the state of Idaho; and 4) to establish collaboration partnership with other institutes with different strengths to tackle fundamental problems in data science.The institute's research program will develop the theory behind, and improve the performance of, artificial neural networks while cultivating a graduate program in data science. In particular, we will develop the theory underpinning deep convolutional neural networks, leading to possible solutions to several fundamentally challenging problems in data science. This research program will develop new mathematical theory, statistical methods and computational algorithms on neural networks, as well as inventing new techniques for high-dimensional data analysis. The institute will enhance data science education at the UI campus through the establishment of a Master's program in data science. These activities will foster workforce training in the State of Idaho.The institute will be the brainpower behind advancements in imagery data analysis that are vital for the region. Through this institution's research program, training and outreach activities, we hope to deliver intelligent and efficient solutions to many pressing problems in crop monitoring in agriculture, wildlife protection, and wildfire prevention. Each of these applications have come to rely on image data for identification of risk areas or classification of attributes. Practitioners across the state are being hampered by inefficient processing of those data. Our research will unlock the mysteries of deep learning and data science, harnessing the power of big data for increasing crop yield, identifying prime habitat for wildlife, and determining best strategies for fire control. Through the educational and incubation cores, the institute will recruit and train a diverse regional workforce in theory and applications of data science. This workforce, in turn, can innovate solutions to data science problems across sectors, invigorating the state's economy. Through new start-ups and/or employing their expertise, our graduates will develop better solutions to education, science, technology, and business.</t>
  </si>
  <si>
    <t>1740855</t>
  </si>
  <si>
    <t>Mahoney</t>
  </si>
  <si>
    <t xml:space="preserve"> Panel Summary       
 The project proposes a new data science institute at UC Berkeley. The PIs propose four research directions: _x000D_
1. Develop a general theory of inference; _x000D_
2. Study stability in computing and inference; _x000D_
3. Study tradeoffs between efficiency and accuracy; _x000D_
4. Bring closer scientific and statistical modeling._x000D_
_x000D_
The PIs are well involved in and connected to the Data Science Education Program at Berkeley. _x000D_
_x000D_
Intellectual Merit: _x000D_
_x000D_
Strengths _x000D_
+ High quality intellectual merit section with a grand challenge and interesting large research directions. _x000D_
+ Highly qualified PIs with strong research records. _x000D_
+ Have key ideas in making progress in proposed research directions. _x000D_
+ Have broad connection to collaboration with other departments and existing entities such as Simons on the campus of Berkeley. _x000D_
+ A good plan to interface discoveries with more applied fields. _x000D_
_x000D_
Weaknesses  _x000D_
- Inference and stability appear as two disjoint threads. The panel would have liked to see a concrete plan to further develop the ideas. _x000D_
- Specific connections among the three areas are lacking. _x000D_
_x000D_
Broader Impact: _x000D_
_x000D_
Strengths _x000D_
+ Plan to incorporate research into undergrad and grad curricula. _x000D_
+ Plan to integrate postdocs into the data science methods via collaboration with other centers. _x000D_
_x000D_
Weaknesses _x000D_
- Proposal could benefit from more detailed industrial collaboration._x000D_
_x000D_
TRIPODS-specific criteria: _x000D_
_x000D_
_x000D_
Integrated research: The PIs propose several research directions, inference, stability and modeling, where two or more of these directions interact. While statistics is well represented, the role of TCS and mathematics could have been stronger given the resources on UC Berkeley campus. The proposal expands on application-aware foundational research with clarity. _x000D_
_x000D_
Integrated teaching and workplace development: The PIs aim to transform undergrad curriculum and grad and post-doc training and work preparation for the data science field. _x000D_
_x000D_
Collaboration: The PIs have collaborated in the past and plan to continue with the effort. The team has to strengthen the link with TCS. The PIs also have some connections to industry and research labs. This connection can be strengthened too. _x000D_
_x000D_
Phase II: The proposal states that the new data science center would benefit from a physical space Berkeley, which was deemed to be a strong point by the panel. It will have an interdepartmental and interdisciplinary role at the interface of existing entities such as the Simons Institute and various other units including collaborative activities. However, the proposal needs to elaborate on the unique identity of this new center, and how its performance will be disentangled from other efforts on campus. _x000D_
_x000D_
_x000D_
Collaboration and Evaluation Plan: The PIs, members of math/cs/stats departments of Berkeley, have collaborated in the past and plan to do in the future. The research results will be disseminated via publication, and the primary research metric is the quality and quantity of papers published. The secondary metric is the amount of interdisciplinary activities and collaboration among the PIs. Teaching will be evaluated by course development and quality of instructions by the PIs. _x000D_
_x000D_
Data Management Plan: The PIs plan to have open-source implementation of tools and algorithms, and open-access versions of all relevant publications. The PIs will respect standards for preserving and storing data and metadata from multiple sources and domains. _x000D_
_x000D_
Post-doctoral Mentoring Plan: Satisfactory. _x000D_
_x000D_
_x000D_
_x000D_
Suggestions to PI: _x000D_
_x000D_
* Create more synergy between the proposed research on interference and stability._x000D_
* Create more significant role of TCS in the research plan._x000D_
* Clarify the unique identity of this new center, different from existing similar organizations on campus._x000D_
 _x000D_
_x000D_
_x000D_
Justification for Panel Rating: The proposal has a very strong IM section with a grand vision and the potential of high impact and PIs with excellent research records. The panel felt that the PIs need to put more effort into integrating the research threads and connecting more with TCS. Also, the panel feels the PIs need to better justify how this new center defines its own footprint different from existing data science facilities on Berkeley campus, and better integrate TCS components. _x000D_
_x000D_
_x000D_
Panel Rating: _x000D_
_ Highly Recommended _x000D_
X Recommended _x000D_
_ Not Recommended _x000D_
 _x000D_
The summary was read by/to the panel and the panel concurred that the summary accurately reflects the panel discussion._x000D_
</t>
  </si>
  <si>
    <t>In response to NSF's TRIPODS Phase I initiative, the PIs, with expertise in theoretical and applied statistics, computer science, and mathematics at the University of California, Berkeley, will create a Foundations of Data Analysis (FODA) Institute to address cutting-edge foundational issues in interdisciplinary data science.  The Institute will advance foundational research and the application of foundational methods through an intensive program of cross-disciplinary outreach to application domains in and beyond the campus research community.  In parallel with the massive technological and methodological advances in the underlying disciplines over the past decade, a thriving array of data-related research and training programs has emerged across campus.  Yet none of these programs within the campus data science ecosystem are devoted to addressing the interdisciplinary foundations of data analysis in a focused, mission-driven manner.  The FODA Institute will address this crucial unmet need.  This interdisciplinary project will lay the groundwork for more productive and fruitful interactions between theoretically-inclined data science researchers and researchers in diverse domains that rely upon, but do not always explicitly appreciate, foundational concepts.  Advances in this area will lead to more principled extraction of insights from data across a wide range of domains.  The three-year Phase I pilot will pave the way for institutionalization of the project as a larger center that will be the subject of a potential Phase II application._x000D_
_x000D_
The technical research component of the project addresses four fundamental challenges in data science: the characterization of what is, and what is not, possible in terms of upper and lower bounds for inferential optimization problems; probing more deeply the notion of stability as a computational-inferential principle; exploring the complementary role of randomness as a statistical resource, as an algorithmic resource, and as a tool for data-driven computational mathematics; and developing methods to combine science-based with data-driven models in a principled manner.  Each of these challenges addresses old questions in light of new needs, each has important synergies with the other challenges, and each is situated squarely at the interface of theoretical computer science, theoretical statistics, and applied mathematics.  The project will bridge the underlying interdisciplinary gaps to address some of the most important questions at the heart of data science today.  Funds for the project come from CISE Computing and Communications Foundations and MPS Division of Mathematical Sciences.</t>
  </si>
  <si>
    <t xml:space="preserve">Proposal ID: CCF 1740855_x000D_
PI: Michael Mahoney_x000D_
Co-PIs: Michael I. Jordan, Richard M. Karp, Fernando Perez, Bin Yu_x000D_
Institution: University of California-Berkeley_x000D_
Title:  Berkeley Institute on the Foundations of Data Analysis_x000D_
_x000D_
Dear Professors Mahoney, Jordan, Karp, Perez, and Yu,_x000D_
_x000D_
Congratulations!  I am delighted that your proposal submitted to the Transdisciplinary Research in Principles of Data Science Phase I solicitation has received an award.   This will be a three-year continuing award in the total amount of $1,499,999.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July 14, 2017_x000D_
_x000D_
On behalf of the TRIPODS Management Team_x000D_
Nandini Kannan_x000D_
Tracy Kimbrel_x000D_
Jack Snoeyink_x000D_
Christopher Stark_x000D_
_x000D_
________________________________x000D_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V, V, and E respectively.  Based on the reviews and the panel deliberations, your proposal was placed in the Recommended category.     _x000D_
_x000D_
Topic: This proposal, from the University of California-Berkeley, seeks to create a Foundations of Data Analysis (FODA) Institute that will provide a "forum for interdisciplinary foundational questions in data science throughout the UC Berkeley community and beyond". _x000D_
_x000D_
The proposed research directions include (1) Algorithms, inference, and fundamental tradeoffs, (2) Stability as a computational-inferential principle, (3) Data-driven computational mathematics, and (4) Combining science-based models with data-driven models.  Center-like activities for Phase I include interdisciplinary training for graduate students and postdoctoral fellows, curricular development in support of the new academic unit at UC Berkeley, and coordination with the Simons Institute to organize programs related to these directions.  The project will leverage existing data science related activities at Berkeley through partnerships with the new School for Data Science, the Berkeley Institute for Data Science, the Simons Institute, and the NSF-funded West Big Data Regional Innovation Hub. _x000D_
_x000D_
Intellectual Merit: The reviewers and panel agreed that the research addressed fundamental challenges in data science, and found the plan to support "grand challenge based Collaborative Working Groups" intriguing.  However, reviewers would have liked the proposal to clearly articulate how different perspectives from the three disciplines would be combined to address the research challenges.  The team includes investigators with excellent research records in foundations of data science, extensive interdisciplinary collaborations, and an established track record of training and mentoring.  The consensus of the panel was that the project would benefit from having a more defined role for researchers representing foundational Mathematics and theoretical CS.  _x000D_
_x000D_
The proposal also includes plans to engage domain scientists and engineers, and collaboration with local businesses and industry. _x000D_
_x000D_
The panel viewed the topics as having the potential for high impact, and appreciated the leveraging of existing data science related infrastructure at Berkeley.  However, reviewers felt that the PIs need to "justify how this new center defines its own footprint", distinct from all the other data science related activities on campus. _x000D_
_x000D_
Broader Impacts:  The proposal lays out a plan for interdisciplinary training of graduate students and postdoctoral fellows.  The PIs have extensive experience with development of new courses and programs, and will continue to engage in pedagogical efforts to "ensure that foundational methods in data science are at the heart of undergraduate education"._x000D_
_x000D_
Reviewers found the connections to real world data from applications related to astronomy, seismology, energy management and policy, and maintenance of critical facilities compelling.  _x000D_
_x000D_
TRIPODS-Specific Criteria:  _x000D_
_x000D_
Reviewers agreed that the proposal presented a well-integrated research and training program, and the synergy between the different groups was well-articulated.    _x000D_
_x000D_
The panel found the collaboration and evaluation plan to be reasonable, with well-defined metrics to assess the research, training, and capacity building activities.  The proposal included a description of Phase I activities, and a well-developed plan for a potential Phase II institute at Berkeley.  _x000D_
_x000D_
Summary and Rationale for Recommendation:  The TRIPODS Management Team agreed that the intellectual merit and broader impacts of the project were strong.  The research addressed significant foundational data science challenges, with a well-integrated training program.  Given the existing initiatives and infrastructure at Berkeley, the Management Team agreed that the project was compelling and recommended an award at the requested level.  _x000D_
_x000D_
Recommendation: A three-year continuing award at the requested level of $1,499,999.  _x000D_
_x000D_
_x000D_
_x000D_
_x000D_
</t>
  </si>
  <si>
    <t xml:space="preserve">In the context of the five review elements, please _x000D_
evaluate the strengths and weaknesses of the proposal with respect to intellectual merit._x000D_
_x000D_
The proposed work is a new institute  for foundations of data science within the proposed reorganization of U Berkeley, housed peering with key departments of interest to the proposal. _x000D_
_x000D_
They pose the grand challenge of how to address model and data complexity jointly. _x000D_
_x000D_
The research directions proposed:_x000D_
-    inferential optimization problems; develop general theory of inference and use methods of dynamic systems and statistical optimization._x000D_
- stability in computing and inference, and study tradeoffs between stability under perturbation and sampling  and convergence rates and errors. _x000D_
- randomness as a tool  in stats and computing, in particular with respect to randomized methods for numerical linear algebraic problems, and matrix perturbation methods applied to statistical models. _x000D_
- combine  foundational research with data-driven models, in particular, domain-based or science-based models with data-driven models, via 4 specific domain examples. _x000D_
_x000D_
Proposed center seems primarily focused on interacting with other depts and entities on the campus.  PIs span different sets of  two out of the 3 areas, with CS referring to randomized numerical methods, Stats referring to inference problems and Math refers to dynamical systems, stability and convergence analysis. _x000D_
_x000D_
Strengths:_x000D_
- Great expertise in individual areas of inference and statistics, and interesting large research directions. _x000D_
- Clear articulation of a grand challenge. _x000D_
- Clear research home amidst relevant departments. _x000D_
- Clearly identified set of applied teams and problems for collaboration._x000D_
_x000D_
Weaknesses:_x000D_
- Not clear how their proposed work addresses the grand challenge, either in common language or a new way beyond the  parametric approach by combining the  perspectives of 3 disciplines.  There is a potential to realize a theory of tradeoff between model, data and computational complexity, the proposal needs to articulate more goal driven approach. _x000D_
- Need to discuss  the connections between inference problems via statistical optimization methods and stability issues with sampling and perturbing, and integrate the research more._x000D_
- Institute seems to rely on other centers/depts in UCB for significant theoretical CS workplan. The theoretical CS component (beyond randomized linear algebra as a tool) needs to be beefed up, and its role in reaching the grand vision has to be expanded._x000D_
_x000D_
In the context of the five review elements, please _x000D_
evaluate the strengths and weaknesses of the proposal with respect to broader impacts._x000D_
_x000D_
Broader impacts._x000D_
- Impact multiple research communities via foundational concepts. _x000D_
- Will incorporate outcomes into undergrad and grad courses. _x000D_
- Have   postdoc mentoring plan to share postdocs with other campus entities. _x000D_
Personnel  have plans under execution to connect with Simons program. _x000D_
_x000D_
Strengths:_x000D_
- Significant research insight will impact multiple disciplines. _x000D_
- Clear plan for integrating postdocs into the data science methods via collaboration with other centers. _x000D_
_x000D_
Weaknesses:_x000D_
- Some significant effort to get usable methods out to external world via perhaps extant collaboration with AMP/Rise and other labs will be interesting. _x000D_
_x000D_
_x000D_
Please evaluate the strengths and _x000D_
weaknesses of the proposal with respect to any additional solicitation-specific review criteria, if _x000D_
applicable_x000D_
_x000D_
_x000D_
Strengths:_x000D_
- Proposal describes several research directions, where two or more of these areas interact. Inference problems show interaction between optimization methods and statistical inference; stability problems show connection between sampling and convergence, etc, and perturbation methods underly both those directions. _x000D_
These are interesting._x000D_
- 'connector' courses are  novel and   entry level data science courses, software based ones are described. Postdoc mentoring by sharing them with applied and other labs is significant. _x000D_
- Phase  II  activities like  1û2 year long working group based organization, and collaborate activiites in other entities like Simons center at Berkeley, are interesting. _x000D_
_x000D_
Weaknesses: _x000D_
- There is potential  synergy between inference problems and randomized methods for algebraic computing, but collaboration and _x000D_
overlap between the inference and statistics as well as between statistics and randomized methods etc have to be fleshed out more.  _x000D_
- The role of theoretical CS needs to be fleshed out more in an integrated manner, and the connections between the learning and statistical  threads have to be articulated. _x000D_
- The team has pairwise collaborations in place, and can use more strength in foundational Mathematics as well as foundational theoretical CS. _x000D_
- Proposal needs to establish its identity in the context of many extant Data Science efforts and entities  in UCB._x000D_
_x000D_
Summary Statement_x000D_
_x000D_
The proposed research directions are significant. Several applied domains and collaborations have been identified. The potential to collaborate with other labs in the vicinity like Simons, AMP and others will  help this proposal extend its reach and impact, but the proposal has to establish an identity distinct from extant Data Science activities in UC Berkeley. The proposed research needs to integrate different threads, expand theory CS component more, and connect the research thread to progress on the grand challenge better._x000D_
_x000D_
</t>
  </si>
  <si>
    <t xml:space="preserve">In the context of the five review elements, please _x000D_
evaluate the strengths and weaknesses of the proposal with respect to intellectual merit._x000D_
_x000D_
+ A very strong proposal intellectually with a grander vision for the future of data science articulated around several main thrusts, each interesting and with a good potential for impact._x000D_
+ Several PIs have extraordinary strong track record, both at the scientific and administrative level._x000D_
+ The proposed research is already well integrated in the PI's activities. _x000D_
_x000D_
- Projects appear as a continuation of existing ones rather than using TRIPODS to enable new directions_x000D_
- The part regarding stability is somewhat hypothetical and merely consists in noting that stability has been used recently. It fails to demonstrate a cohesive plan to develop this aspect further, or even its potential._x000D_
- The part regarding modeling and connection to science is disconnected from the rest of the proposal._x000D_
_x000D_
In the context of the five review elements, please _x000D_
evaluate the strengths and weaknesses of the proposal with respect to broader impacts._x000D_
_x000D_
+ Integration into already established activities_x000D_
- lack of a substantial effort for broader impacts._x000D_
_x000D_
Please evaluate the strengths and _x000D_
weaknesses of the proposal with respect to any additional solicitation-specific review criteria, if _x000D_
applicable_x000D_
_x000D_
+ Some connections with broader activities on campus_x000D_
+ Good track record of collaborations between PIs and beyond_x000D_
+ A gradual plan to move on to phase two is reasonable_x000D_
+ A good integration of statistics, computer science and, to a lesser extent, mathematics_x000D_
+ Logistical details of a phase II migration are detailed._x000D_
+ Good multidimensional performance metrics_x000D_
_x000D_
- Already a lot of activity around data science and computing, including foundations, and it is unclear how the proposed institute would integrate._x000D_
- At times, the proposal perspires a latent lack of communication between disciplines ("locally, statistical models are all least squares": this is perhaps related to maximum likelihood but a somewhat narrow view of statistics altogether)._x000D_
- The proposal only articulates the role of the 5 PIs but excludes broader UC Berkeley community (strong of many potentially relevant faculty members across the three legs of the TRIPODS). Actually the specific role and integration of co-PI Karp is actually never discussed in the body of the proposal._x000D_
- PIs Jordan, Yu and Karp are already committed to large scale projects that are directly connected to the topics of this proposal and it is unclear how much time they will be able to devote to a new one._x000D_
- Budgeting towards more traditional objects (salaries, students, postdocs, travel) but lacks dedicated activities such as workshops (stated in the proposal but not reasonably budgeted for). Given the large amount of activity on  campus around the Simons institute, this may be deliberate but not articulated in the proposal._x000D_
_x000D_
Summary Statement_x000D_
_x000D_
Proposal with very good prospects for impactful research from a team of well established researchers with excellent track record. If funded, the objectives of the proposal may be hard to evaluate in the context of multiple large scale projects to which investigators are already committed._x000D_
_x000D_
</t>
  </si>
  <si>
    <t xml:space="preserve">In the context of the five review elements, please _x000D_
evaluate the strengths and weaknesses of the proposal with respect to intellectual merit._x000D_
_x000D_
This is an excellent proposal._x000D_
_x000D_
The intellectual merit component is very strong. The PIs offers 4 research directions.  The first 3 directions are theory focused, all driven by efficiency, accuracy and the resulting tradeoff.  The last direction has a practical bend._x000D_
_x000D_
The PIs aim to build a general theory of interference, steering away from the traditional worst-case analysis of the TCS community and focusing on the average-case analysis suitable for large data setting.  The PIs plan to study stability in relationship to convergence in optimization problem, and in relation to sampling. The PIs aim to exploit domain-specific techniques such as randomization (randomized linear algebra, perturbation theory) to improve efficiency in large-scale linear algebra problem, and to study the efficiency-accuracy trade-off. Randomization again ties in with average-case analysis in the first direction. The final direction is to do with modeling, which is the most practical direction in this proposal. Here, the PIs aim to compare science-based model (theory) against data-driven model (practice). This direction leads to the Phase II preparation. _x000D_
_x000D_
+ PIs are highly qualified_x000D_
+ PIs have strong presence in TCS and stats_x000D_
+ PIs already make notable progress in proposed research directions.  _x000D_
+ Proposal leads to Phase II planning_x000D_
+ PIs are heavily involved in the curricular design at Berkeley.  The courses being taught/designed by the PIs cover multiple departments and teach theory and practical skills. _x000D_
_x000D_
- PI presence in math is weaker_x000D_
_x000D_
In the context of the five review elements, please _x000D_
evaluate the strengths and weaknesses of the proposal with respect to broader impacts._x000D_
_x000D_
The broader impact is fairly standard._x000D_
_x000D_
+ Potential high impact in multiple disciplines._x000D_
+ Multiple education aspects, teaching + mentoring, undergrad + grad + postdocs._x000D_
- Industrial collaboration should be elaborated further. (one PI has close industry tie.)_x000D_
_x000D_
Please evaluate the strengths and _x000D_
weaknesses of the proposal with respect to any additional solicitation-specific review criteria, if _x000D_
applicable_x000D_
_x000D_
_x000D_
_x000D_
Summary Statement_x000D_
_x000D_
Overall, this is a strong proposal and excellent candidate to receive the support._x000D_
_x000D_
</t>
  </si>
  <si>
    <t>In response to NSF's TRIPODS Phase I initiative, a team of researchers with expertise in theoretical and applied statistics, computer science, and mathematics at the University of California, Berkeley, will create a Foundations of Data Analysis (FODA) Institute to address cutting-edge foundational issues in interdisciplinary data science. The Institute will advance foundational research and the application of foundational methods through an intensive program of cross-disciplinary outreach to application domains in and beyond the campus research community. UC Berkeley is ideally situated for this work. In parallel with the massive technological and methodological advances in the underlying disciplines over the past decade, a thriving array of data-related research and training programs has emerged across campus. Yet none of these programs within the campus data science ecosystem are devoted to addressing the interdisciplinary foundations of data analysis in a focused, mission-driven manner. The FODA Institute will address this crucial unmet need._x000D_
As part of the plan for its largest structural reorganization in decades, UC Berkeley is now in the process of creating a new division-level, dean-led academic unit focused on data science. This unit will provide a central home for such departments as Statistics, Electrical Engineering &amp; Computer Science, and Industrial Engineering &amp; Operations Research, along with a variety of related departments such as Economics and Computational Biology. A focal point for all levels of training, beginning at the freshman level and including many new and revised courses as well as a new major and/or minor program of studies, the unit will also serve as a nexus for the various data-related activities across campus. The current campus reorganization will enable optimal leveraging of NSF funding to support a unified approach to foundational studies that will be woven directly into the fabric of interdisciplinary scientific and educational innovation at Berkeley. The three-year Phase I pilot will pave the way for institutionalization of the project as a larger center that will be the subject of a Phase II application.The proposed work addresses four fundamental challenges in data science: the characterization of what is and what is not possible in terms of upper and lower bounds for inferential optimization problems; probing more deeply the notion of stability as a computational-inferential principle; exploring the complementary role of randomness as a statistical resource, as an algorithmic resource, and as a tool for data-driven computational mathematics; and developing methods to combine science-based with data-driven models in a principled manner. Each of these challenges addresses old questions in light of new needs, has important synergies with the other challenges, and is situated squarely at the interface of theoretical computer science, theoretical statistics, and applied mathematics. The project will bridge the underlying interdisciplinary gaps to address some of the most important questions at the heart of data science today.This interdisciplinary project will lay the groundwork for more productive and fruitful interactions between theoretically-inclined data science researchers and researchers in diverse domains that rely upon but do not always explicitly appreciate foundational concepts.  Advances in this area will lead to more principled extraction of domain insights from data across a wide range of domains. Collaborations with campus partners including the Berkeley Institute for Data Science (BIDS), the Simons Institute for the Theory of Computing, and the RISE/AMP Labs, as well as with Lawrence Berkeley National Laboratory and with the NSF Big Data Regional Innovation Hub, will ensure that the work of the FODA Institute is disseminated across the existing data science ecosystem, further compounding its impact. The project's research outcomes will be fully integrated into the undergraduate and graduate curricula at Berkeley, producing researchers and scholars in diverse domains with rigorous training in the critical analysis of data as it appears in their everyday experience.</t>
  </si>
  <si>
    <t>1740858</t>
  </si>
  <si>
    <t xml:space="preserve"> Panel Summary       
 Description: This is a proposal to establish UA-TRIPODS at University of Arizona by a team of 20 faculty members comprising seven mathematicians, six statisticians and seven computer scientists. The research program will be centered on eight research working groups, whose activities will involve postdocs, graduate and undergraduate students. The proposal outlines partnerships with several local research centers to enhance the application awareness of the research program. The main curriculum development activity proposed is the development of an undergraduate degree in statistics and data science. The proposal outlines several outreach activities at the K-12 level, as well as efforts to increase the participation of underrepresented groups in data science._x000D_
_x000D_
Intellectual Merit: _x000D_
_x000D_
Strengths _x000D_
+ interdisciplinary team that provides expertise in mathematics, statistics, and computer science_x000D_
+ broad coverage of foundational issues in data science spanning eight research modules_x000D_
+ strong record of publications_x000D_
+ proposed partnerships with several research centers on campus substantiated by letters of support, as these should enhance the application awareness of the research and training of students and postdocs_x000D_
_x000D_
_x000D_
Weaknesses _x000D_
-  the research topics seemed a bit fragmented, not offering a clear, well integrated vision for foundations of data science_x000D_
-  the description of some research topics was vague_x000D_
_x000D_
_x000D_
Broader Impact: _x000D_
_x000D_
Strengths _x000D_
+ outreach to K-12 communities_x000D_
+ outreach to under-represented groups and women_x000D_
+ development of an undergraduate degree in statistics and data science_x000D_
+ training of postdocs and students_x000D_
_x000D_
Weaknesses _x000D_
- some panelists thought that some activity in course development at the graduate level would stregthen the proposal_x000D_
_x000D_
_x000D_
TRIPODS-specific criteria:_x000D_
_x000D_
Strengths _x000D_
+ application-awareness enhanced by collaboration with domain scientists and industry_x000D_
+ the team expertise is well balanced, bringing together expertise in all three disciplines_x000D_
+ activities such as seminars by local researchers and external visitors, retreats, and annual workshops will help UA-TRIPODS develop institute capabilities_x000D_
+ research activities will support development of common terminologies_x000D_
_x000D_
Weaknesses _x000D_
- plan to interact with domain sciences and industry does not discuss mechanisms and the roles of project personnel_x000D_
- lack of a clear vision for foundations of data science _x000D_
_x000D_
_x000D_
Collaboration and Evaluation Plan: some panelists noted that details are lacking about the external evaluator and quantitative measures of performance._x000D_
_x000D_
Data Management Plan: adequate_x000D_
_x000D_
Post-doctoral Mentoring Plan: adequate_x000D_
_x000D_
Justification for Panel Rating: The proposed research program offers fairly broad coverage of problems in data science, however, the panel thought that the proposal does not articulate a clear vision for data science. The panel concurred that the plans for developing center capacity were strong, but the research topics are not sufficiently cohesive. The educational and outreach activities are well integrated with the proposed research._x000D_
_x000D_
Panel Rating:_x000D_
_ Highly Recommended _x000D_
X Recommended _x000D_
_ Not Recommended _x000D_
_x000D_
The summary was read by/to the panel and the panel concurred that the summary accurately reflects the panel discussion._x000D_
</t>
  </si>
  <si>
    <t>UA-TRIPODS aims to build a transformative and highly interactive data science hub in the Southwestern United States for the integration of research, education, and outreach in the theoretical foundations of data science.  Through research, education, and outreach targeted to high school students through postdoctoral fellows, UA-TRIPODS will help establish and encourage a diverse population to pursue careers in quantitative and computational data science.  The intellectual merits of the project include identifying fundamental areas where progress in the theoretical foundations is imperative, developing mathematical and algorithmic principles of data science, and basic research on topics ranging from the theory of large scale networks and optimization to statistical modeling for natural language processing and Bayesian methods.  This is accomplished by extending long-standing collaborations with experts in the foundational disciplines - theoretical computer science, mathematics, and statistics - and motivated by problems in the domain sciences and industry.  New mathematical, statistical, and algorithmic principles will strengthen the foundations of theoretical data science, while driving discovery and innovation for emerging applications.  UA-TRIPODS will also cultivate new partnerships with local industries engaged in data-centric enterprises in astronomy, environmental science, genomics, lunar and planetary sciences, medicine, transportation, and optical sciences._x000D_
_x000D_
Research Working Groups will pursue fundamental questions in a number of different areas in the theoretical foundations of data science.  By ensuring each group includes researchers from each area of the foundational disciplines, while also pairing these groups with science and industry partners, UA-TRIPODS will ensure that these projects will benefit from a truly transdisciplinary collaboration.  Progress in collaboration will be measured by specialized program evaluation metrics.  Yearly workshops, seminars, and brainstorming/visioning activities will enable UA-TRIPODS to lay the foundation for the future of training and research in data science.  In addition, this project will support the development of a new undergraduate degree in Statistics and Data Science at the University of Arizona, expanded online offerings, and facilitation of cooperation in graduate education (both among the foundational disciplines and with the domain sciences).  Students will be provided with opportunities to experience first-hand data analysis and interdisciplinary research and education.  UA-TRIPODS will also engage partnering colleges and universities across the Southwest in the institute activities and then utilize these connections to support novel and effective inter-university and intra-university research and educational programs.  Partnerships with Hispanic Serving Institutions and Tribal Colleges in southern California, Arizona, New Mexico, and western Texas will be strengthened.</t>
  </si>
  <si>
    <t xml:space="preserve">Proposal ID: CCF 1740858_x000D_
PI: Zhang, Hao_x000D_
Co-PIs: David Glickenstein, Stephen Kobourov, Joseph Watkins_x000D_
Institution:  University of Arizona  _x000D_
Title: UA-TRIPODS: Building Theoretical Foundations for Data Sciences_x000D_
_x000D_
Dear Professors Zhang, Glickenstein, Kobourov, and Watkins,_x000D_
_x000D_
Congratulations! I am delighted that your proposal submitted to the Transdisciplinary Research in Principles of Data Science Phase I solicitation has received an award. This will be a three-year continuing award in the total amount of $1,368,498.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_x000D_
Tracy Kimbrel_x000D_
Jack Snoeyink_x000D_
_x000D_
Panel Review:  _x000D_
_x000D_
Each proposal was reviewed by at least three members of the panel assigned in advance as reviewers and discussion leaders.  One of the reviewers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Panel Ranking: _x000D_
_x000D_
The review ratings of the proposal are:  V, G, G.  This proposal was Recommended category._x000D_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plan to establish an institute they will call UA-TRIPODS at University of Arizona.  The research program will be centered on eight research working groups, each of whose activities will involve postdocs, graduate and undergraduate students.  The main curriculum development activity proposed is the development of an undergraduate degree in statistics and data science.  Research topics in foundations of data science include large networks, data visualization and interpretation, imaging, natural language processing, optimization, point clouds, and statistical methods for big data. _x000D_
_x000D_
Intellectual Merit: _x000D_
_x000D_
The interdisciplinary team of 20 faculty members is highly capable in the three TRIPODS disciplines of mathematics, statistics, and computer science, with a strong record of publications.  The proposed research provides broad coverage of foundational issues in data science spanning eight research directions.  The proposal also outlines partnerships with several local research centers.  The panel felt that this proposal was particularly strong in the research efforts to be pursued. Each research working group consists of experts from computer science, math and statistics. The problems of these research working groups are clearly defined and are important for the theories and applications of data science. There is strong synergy among the three disciplines, facilitated by collaboration protocol. _x000D_
_x000D_
Broader Impacts:  _x000D_
_x000D_
In addition to postdoc and graduate student training, the proposal outlines several outreach activities at the K-12 level, as well as efforts to increase the participation of underrepresented groups in data science.  The panel viewed the development of an undergraduate degree in statistics and data science as a strong point.  Interdisciplinary impact via proposed partnerships with research centers on campus substantiated by letters of support was also seen as strong._x000D_
_x000D_
TRIPODS-Specific Criteria:  _x000D_
_x000D_
The team of 20 faculty members is well-balanced across the TRIPODS disciplines, comprising seven mathematicians, six statisticians and seven computer scientists.  Application-awareness is enhanced by collaboration with domain scientists and industry. Activities such as seminars by local researchers and external visitors, retreats, and annual workshops will help the team develop institute capabilities for Phase II. The panel expressed some concern about whether the team has an overall vision for data science.  However, the proposal is strong on all the other aspects of the TRIPODS call, and since this is the seed phase of the program, the program director team felt this was a seed well worth planting to give the team the opportunity to fill in this single gap as it grows toward the potential of a full-size institute._x000D_
_x000D_
Summary and Rationale for Recommendation:  _x000D_
_x000D_
The TRIPODS Management Team agreed that the intellectual merits and broader impacts of the project were well worthy of support.  The research addressed significant foundational data science challenges, with a well-integrated program for curriculum development and mentoring.  The Management Team recommends an award at a slightly reduced level due to limited funds available to the program.  _x000D_
_x000D_
Recommendation: _x000D_
_x000D_
A three-year continuing award at the level of $1,368,498._x000D_
</t>
  </si>
  <si>
    <t>Proposal ID: CCF 1740858_x000D_
PI: Zhang, Hao_x000D_
Co-PIs: David Glickenstein, Stephen Kobourov, Joseph Watkins_x000D_
Institution:  University of Arizona  _x000D_
Title: UA-TRIPODS: Building Theoretical Foundations for Data Sciences_x000D_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II (P172028) which met May 22-23,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One of the reviewers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7 proposals_x000D_
Not Recommended: 10 proposals_x000D_
Not Discussed in Panel: 11 proposals_x000D_
_x000D_
Panel Ranking: _x000D_
_x000D_
The review ratings of the proposal are:  V, G, G.  This proposal was one of seven placed in the Recommended category and was ranked 6th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plan to establish an institute they will call UA-TRIPODS at University of Arizona.  The research program will be centered on eight research working groups, each of whose activities will involve postdocs, graduate and undergraduate students.  The main curriculum development activity proposed is the development of an undergraduate degree in statistics and data science.  Research topics in foundations of data science include large networks, data visualization and interpretation, imaging, natural language processing, optimization, point clouds, and statistical methods for big data. _x000D_
_x000D_
_x000D_
Intellectual Merit: _x000D_
_x000D_
The interdisciplinary team of 20 faculty members is highly capable in the three TRIPODS disciplines of mathematics, statistics, and computer science, with a strong record of publications.  The proposed research provides broad coverage of foundational issues in data science spanning eight research directions.  The proposal also outlines partnerships with several local research centers.  The panel felt that this proposal was particularly strong in the research efforts to be pursued. Each research working group consists of experts from computer science, math and statistics. The problems of these research working groups are clearly defined and are important for the theories and applications of data science. There is strong synergy among the three disciplines, facilitated by collaboration protocol. _x000D_
_x000D_
Broader Impacts:  _x000D_
_x000D_
In addition to postdoc and graduate student training, the proposal outlines several outreach activities at the K-12 level, as well as efforts to increase the participation of underrepresented groups in data science.  The panel viewed the development of an undergraduate degree in statistics and data science as a strong point.  Interdisciplinary impact via proposed partnerships with research centers on campus substantiated by letters of support was also seen as strong._x000D_
_x000D_
TRIPODS-Specific Criteria:  _x000D_
_x000D_
The team of 20 faculty members is well-balanced across the TRIPODS disciplines, comprising seven mathematicians, six statisticians and seven computer scientists.  Application-awareness is enhanced by collaboration with domain scientists and industry. Activities such as seminars by local researchers and external visitors, retreats, and annual workshops will help the team develop institute capabilities for Phase II. The panel expressed some concern about whether the team has an overall vision for data science.  However, the proposal is strong on all the other aspects of the TRIPODS call, and since this is the seed phase of the program, the program director team felt this was a seed well worth planting to give the team the opportunity to fill in this single gap as it grows toward the potential of a full-size institute._x000D_
_x000D_
Summary and Rationale for Recommendation:  _x000D_
_x000D_
The TRIPODS Management Team agreed that the intellectual merits and broader impacts of the project were well worthy of support.  The research addressed significant foundational data science challenges, with a well-integrated program for curriculum development and mentoring.  The Management Team recommends an award at a slightly reduced level due to limited funds available to the program.  _x000D_
_x000D_
Recommendation: _x000D_
_x000D_
A three-year continuing award at the level of $1,368,498.  The funding is distributed as follows:_x000D_
_x000D_
FY 2017_x000D_
CCF      Org Code 05010000  PEC 041Y  $184,250_x000D_
DMS      Org Code 03040000  PEC 041Y  $184,250_x000D_
_x000D_
FY 2018_x000D_
CCF      Org Code 05010000  PEC 041Y  $250,000_x000D_
DMS      Org Code 03040000  PEC 041Y  $249,999_x000D_
_x000D_
FY 2019_x000D_
CCF      Org Code 05010000  PEC 041Y  $250,000_x000D_
DMS      Org Code 03040000  PEC 041Y  $249,999_x000D_
_x000D_
PRCs: _x000D_
_x000D_
047Z TRIPODS Phase 1_x000D_
062Z Harnessing the Data Revolution_x000D_
_x000D_
_x000D_
Tracy Kimbrel, Program Officer_x000D_
Division of Computing and Communication Foundations_x000D_
July 12,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</si>
  <si>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The proposal presents a plan to create a Phase I Institute at University of Arizona, UA-TRIPODS, with a regional focus. The research activities will be centered on eight working groups that will address a broad set of problems in foundations of data science including questions involving large networks, data visualization and interpretation, imaging, natural language processing, optimization, point clouds, and statistical methods for big data. The proposal includes training and educational activities at the undergraduate, graduate and postdoctoral levels, several outreach efforts, and interactions with domain scientists and local industry._x000D_
_x000D_
One of the strengths of the proposal is the clear identification of focused research topics that cover foundations of data science broadly. Eight research working groups (RWG) will address problems that are related to a variety of data types, including time-dependent data. The project is structured to be highly application-aware through partnerships with research centers such as Lunar and Planetary Laboratory, UA Climate Dynamics and Hydrometeorology Center, Center for Gamma-Ray Imaging, etc. Each RWG will involve researchers with expertise in mathematics, theoretical computer science, and statistics communities and will deal with two/three different research questions.  The proposal explains fairly well why some of these problems will require interactions between at least two of the communities. However, in some cases, it was not completely clear how the RWG would create synergies among the disciplines. Otherwise, I think the proposal does a very good job of identifying and bringing together the existing research strengths at University of Arizona. My impression is that the proposed RWGs will be a good way of building some center-like structure.  The same applies to the planned annual 5-day summer workshops on selected themes, which will feature tutorials for graduate students, oral presentations by invited speakers, poster sessions and brain storming sessions. I do not particularly like the request for funds to attend conferences. I think priority should be given to promoting center-like activities to more effectively address the key goals of the program. TRIPODS broad themes addressed in the proposal include development of common language, application-aware foundational research, industry engagement, and to a lesser extent dynamical data and curriculum unification._x000D_
_x000D_
In the context of the five review elements, please _x000D_
evaluate the strengths and weaknesses of the proposal with respect to broader impacts._x000D_
_x000D_
Through partnerships with domain scientists and local industries, the PIs anticipate producing computational and informatics tools useful in scientific and practical settings. The proposal describes intensive collaboration with Metropia, but does not seem to clearly identify the roles of project personnel in this interaction. The proposal also presents plans to reach out to industry through the School of Mathematical Science External Advisory Board. Curriculum development will focus on an undergraduate degree in Statistics and Data Science; there does not seem to be anything proposed at the graduate level. Four graduate research assistantships will be offered every year, funded by the project and the mathematics department. UA-TRIPODS also will support two postdocs. This seems to be adequate for Phase I. The proposal describes several K-12 outreach activities, including work with tribal communities, as well as efforts to increase participation of underrepresented groups in data science. The proposal identifies mechanisms and personnel that will lead these activities. The outreach plan seems to be well crafted and solid._x000D_
_x000D_
Please evaluate the strengths and _x000D_
weaknesses of the proposal with respect to any additional solicitation-specific review criteria, if _x000D_
applicable_x000D_
_x000D_
The proposal presents a well-integrated research and training program, except for some weaknesses noted above related to the interaction of the three communities in some RWGs and the limited activity in curriculum development, especially at the graduate level. The plan makes very good use of the locally available resources, articulating a solid vision for application-aware foundational research. Overall, I give high marks for this aspect of the proposal. The project addresses several TRIPODS broad themes. I like the RWG design (this includes development of common terminology) and find the potential for application-aware foundational research and industry engagement particularly high. The team of 20 investigators brings together complementary expertise, representing all three areas, and should generate new synergies among the core disciplines. The plan to interact with the domain sciences and industry looks promising, but the proposal could have elaborated on the mechanisms for such interactions and project personnel that will lead the efforts._x000D_
_x000D_
The Phase II vision outlined in the proposal is that of a regional institute serving primarily the southwestern states. In research, the PIs envision reassessing and continuing the RWG structure. I would have liked to see a bolder, more ambitious Phase II vision, but what the PIs propose to do in Phase I of the project looks very solid and seems to make very good use of the resources that will be available to them. _x000D_
_x000D_
Throughout the duration of the project, an external evaluator will do the evaluation using quantitative and qualitative data. The evaluation plan includes lists of clear objectives and standards of success that are consonant with the activities described in the proposal. The evaluator and an Executive Committee will periodically assess the progress and successes of Phase I operations, as well as development of Phase II capabilities. The plan appears to be well crafted and sound._x000D_
_x000D_
Summary Statement_x000D_
_x000D_
I find this Phase I proposal very well structured and promising, worthy of consideration for funding. However, I think that it will be important to ensure that the research problems addressed by the RWGs actually involves meaningful interaction of the core disciplines. Additional efforts in curriculum development and unification would have enhanced the project. The data management and postdoc mentoring plans are fine._x000D_
_x000D_
I place this proposal in the top third of the proposals I have read._x000D_
_x000D_
_x000D_
</t>
  </si>
  <si>
    <t xml:space="preserve">In the context of the five review elements, please _x000D_
evaluate the strengths and weaknesses of the proposal with respect to intellectual merit._x000D_
_x000D_
-Strengths: _x000D_
*The proposal is well written and comes from a truly interdisciplinary team at the University of Arizona, across mathematics, statistics and computer science. It is articulated around 8 well defined modules._x000D_
*The team itself has a strong record of publication in good journals in their respective fields. *The letters of intents from various units on campus with potentially interesting questions are a good sign that due diligence was made in preparation for future collaboration._x000D_
_x000D_
-Weaknesses: _x000D_
*The treatment of each module is quite inconsistent and ranges from vague (e.g., module 5) to over specialized (modules 6, 7). Other modules (e.g. 1) are at a described at good level of granularity. Moreover, extra modules are not quite modules but smaller sized projects (e.g., module 8 describes one possible method for one possible problem). _x000D_
*Overall, the proposal lacks a common set of ideas and, perhaps more importantly, fails to demonstrate a cohesive approach to develop fundamental tools overarching several problems. I also found that some problems missed either specific motivation or to demonstrate what the scientific opportunity was._x000D_
_x000D_
_x000D_
In the context of the five review elements, please _x000D_
evaluate the strengths and weaknesses of the proposal with respect to broader impacts._x000D_
_x000D_
Strength: The broader impacts are the strongest part of the proposal as they blend traditional outreach activities of mathematics departments through educational programs together with interdisciplinary and industrial collaborations. The proposal also plans to support the development of an undergraduate degree in Statistics and Data Science within the mathematics department at UA. _x000D_
PIs have a good track record of promoting research to women and URMs._x000D_
Weaknesses: non noted._x000D_
_x000D_
Please evaluate the strengths and _x000D_
weaknesses of the proposal with respect to any additional solicitation-specific review criteria, if _x000D_
applicable_x000D_
_x000D_
-Strengths: _x000D_
*workshops and synergies between various departments and units are planned for._x000D_
*the proposal clearly illustrates trans-disciplinarity with a good representation of each of the three legs of TRIPODS_x000D_
*A gradual plan to move on to phase two is reasonable (see below)_x000D_
_x000D_
-Weaknesses: _x000D_
*lacks a grander vision for fundamentals of data science._x000D_
*Lack of systematic exploration plan towards phase two. _x000D_
*While the proposal specifies evaluation by a mysterious "external evaluator" with a variety of statistical analysis. Unfortunately, it is unclear what numerical measures of performance will be recorded and there is no budgeting for this evaluator._x000D_
_x000D_
Summary Statement_x000D_
_x000D_
Overall, while moderate goals are well articulated, the potential of broader ones for impactful contributions and future growth lack a cohesive argumentation._x000D_
_x000D_
</t>
  </si>
  <si>
    <t xml:space="preserve">In the context of the five review elements, please _x000D_
evaluate the strengths and weaknesses of the proposal with respect to intellectual merit._x000D_
_x000D_
Strengths: _x000D_
_x000D_
+ The research team consists of 20 faculty members (7 CS, 7 Math, 6 Stat). The proposed research and training activities will bring these researchers together to work on important problems in data science. In particular, the PIs propose a three phase collaboration protocol to facilitate group activities. _x000D_
_x000D_
+ The proposed activities are divided into eight research working groups, with clearly defined problems and goals. Each research working group consists of experts from computer science, math and statistics. The problems of these research working groups are clearly defined and are important for the theories and applications of data science. _x000D_
_x000D_
Weaknesses: _x000D_
_x000D_
- While the research team will no doubt make advances by working on the specific problems and topics listed in the proposal, it is less clear whether the team will develop unified theories for data science. The proposed research appears to be fragmented, and lacks a vision for the foundation of data science._x000D_
_x000D_
In the context of the five review elements, please _x000D_
evaluate the strengths and weaknesses of the proposal with respect to broader impacts._x000D_
_x000D_
Strengths: _x000D_
_x000D_
+ The proposed training activities consist of graduate and undergraduate training and education,  collaborations with research centers in UA, outreach to K-12 community, outreach to under-represented students and women._x000D_
_x000D_
+ The PIs propose to establish long-term partnership with domain science, local industry, and business. _x000D_
_x000D_
+ The PIs propose a prototype data science hub in the Southwest of US. _x000D_
_x000D_
Weaknesses: _x000D_
_x000D_
- No clear weaknesses. _x000D_
_x000D_
_x000D_
Please evaluate the strengths and _x000D_
weaknesses of the proposal with respect to any additional solicitation-specific review criteria, if _x000D_
applicable_x000D_
_x000D_
Strengths: _x000D_
_x000D_
+ The proposal describes a coherent research and training program by bringing together researchers from CS, math and stat. There is strong synergy among the three disciplines, facilitated by collaboration protocol. _x000D_
_x000D_
+ The research working groups will be working on important problems in data science. There is strong interaction between the three disciplines. _x000D_
_x000D_
+ The proposed activities on graduate and undergraduate education, workforce training, and outreach to under-represented students and women are strong. _x000D_
_x000D_
+ There is a clear plan for the transition to Phase II. _x000D_
_x000D_
Weaknesses: _x000D_
_x000D_
- The proposed research activities appear to be fragmented, lacking a general vision for the foundation of data science. _x000D_
_x000D_
- The management and organization plan is quite brief. _x000D_
_x000D_
_x000D_
_x000D_
_x000D_
Summary Statement_x000D_
_x000D_
This is a good proposal. Both the research activities and institutional activities are strong.  The PIs may strengthen their plan for developing a unified theoretical foundation for data science._x000D_
_x000D_
</t>
  </si>
  <si>
    <t>With an emphasis on creating new knowledge in the theoretical foundations of data science in an age where both the scale and the complexity of data are rapidly increasing, UA-TRIPODS has as its primary goal the creation of a high-quality data science hub, the first Institute in the Southwestern United States for the integration of research, education, and outreach. This will be accomplished by extending long standing collaborations among the foundational disciplines - theoretical computer science, mathematics, and statistics - and with domain scientists while at the same time deepening these partnerships to push forward the frontiers in computational, mathematically, and statistically intensive data enabled science.The central activities of UA-TRIPODS are research developments in the foundations of data sciences and integrated educational endeavors. The new theoretical tools and results are both fundamental in providing deep insights for existing approaches, inspiring innovative and optimal solutions and in forming the engine of discovery and innovation for new applications. Consequently, the intellectual outcomes from UA-TRIPODS will be developed under two complementary, highly interacting approaches: advances in the foundations of data science and new discoveries in data intensive science. The infrastructure workforce on foundation emanates from eight research working groups: (1) Theory for large scale networks and graphs, (2) Theory for data visualization and interpretation, (3) Theoretical research for imaging sciences, (4) Statistical modeling for natural language processing, (5) Theoretical analysis for optimization, (6) Analyzing large-scale point-set data, (7) Bayesian methods for Big Data, and (8) Theory for time-dependent data analysis. These groups bring together a total of 20 faculty members across the computer science, mathematics, and statistics programs, their post-doctoral fellows and graduate students. To ensure a broad research perspective, each working group has representation from all three foundation disciplines, which will  facilitate to bring transformative intellectual outcomes. The project will result in new mathematical, statistical, and algorithmic principles, which will greatly advance the foundation of theoretical data science. Furthermore, research products from this research will make high impact on domain sciences such as astronomy, climate science, genomics, lunar and planetary sciences, medicine, and optical sciences.UA-TRIPODS will cultivate existing and new partnerships with local industries engaged in data-centric high tech businesses. Through our broad collaborations with domain scientists and industry, we will produce user-friendly and well-documented computational and informatics tools to a broad audience of science researchers. In addition, UA-TRIPODS will design a state-of-the-art and transformative education plan for data science, by mentoring at all levels from high school through to post-doctoral fellows, implementing a targeted recruitment plan, and encouraging a diverse pool to pursue education and careers in quantitative and computationally sophisticated data science. This will begin at the University of Arizona with the creation of an undergraduate degree in Statistics and Data Science, expanding online offerings to the existing graduate certificate, and facilitating the cooperation in graduate education both among the foundational disciplines and the domain sciences. As a leading Research I university, we will support similar research and educational endeavors across the Southwest, with particular emphasis on Hispanic Serving Institutions and Tribal Colleges in southern California, Arizona, New Mexico, and western Texas, and across the nation, through participation in targeted professional societies including the Grace Hopper Celebration for Women in Computing, the Math Alliance Field of Dreams Conference, the American Indian Science and Engineering Society, and the Society for the Advancement of Chicanos and Native Americans in Science. In this way, students will have the opportunity to experience first hand from an early stage in their career the issues and the excitement of interdisciplinary research and education. This we be achieved by first inviting participation of these partnering colleges and universities in the Institute activities and then utilizing these new connections to supporting novel and effective inter-university and intra-university research and educational programs.</t>
  </si>
  <si>
    <t>1740859</t>
  </si>
  <si>
    <t>Wilson</t>
  </si>
  <si>
    <t xml:space="preserve">In the context of the five review elements, please _x000D_
evaluate the strengths and weaknesses of the proposal with respect to intellectual merit._x000D_
_x000D_
The research program (Aim1) is articulated around three directions : compressed measurements and learning, dimension reduction, interpretable models. Although these ideas are not very new, advances might prove useful in the context of a phase 2 center. The most problematic aspect is the fact that each of these directions is associated with a well established community and can be pursued without creating additional synergies between the three disciplines._x000D_
_x000D_
In the context of the five review elements, please _x000D_
evaluate the strengths and weaknesses of the proposal with respect to broader impacts._x000D_
_x000D_
The broader impact plan is outlined as Aim2 and Aim3.  Aim2 consist in developing a summer program on data sciences. Aim3 continues existing Seminar and Conferences under the auspices of the Institute. It also plans for a visiting fellow position. Funding goes to the senior personnel and the fellow position._x000D_
_x000D_
Please evaluate the strengths and _x000D_
weaknesses of the proposal with respect to any additional solicitation-specific review criteria, if _x000D_
applicable_x000D_
_x000D_
There is a discussion of what the PIs want to do during phase 2 (a PhD program, a collaboration with the UCSF school of medecine) but this does not amount to a plan towards building the phase 2 proposal. _x000D_
_x000D_
The proposition proposes evaluation criteria but does not spell out the process and does not say who the evaluators are._x000D_
_x000D_
_x000D_
Summary Statement_x000D_
_x000D_
The research program contains useful idea, but does not seem geared towards creating new synergies between the three disciplines. The plan for broader impact mixes new educational efforts and existing workshops and seminars._x000D_
_x000D_
</t>
  </si>
  <si>
    <t xml:space="preserve">In the context of the five review elements, please _x000D_
evaluate the strengths and weaknesses of the proposal with respect to intellectual merit._x000D_
_x000D_
Proposal focuses on 'practical solutions to data collection and scalable algorithms or complex and high-d data.'_x000D_
_x000D_
Many of the proposed problems and techniques are quite mature, and it was not clear that further work would be strongly impactful. _x000D_
_x000D_
Hard to see how the proposal on compressed learning would differ from already popular techniques like linear and nonlinear embeddings with DNN's or just for learning on standard compressed renderings? _x000D_
_x000D_
Also propose work in statistical optimization for deep learning, specifically 'adapting the Kaczmarz algorithm for machine learning.' That alg is designed for overdetermined systems, but today's flexible models tend to be underdetermined, and if you're going to make a locally linear approximation (Kaczmarz if for linear system), then it's not clear how/why this would be better than ADAM/Adagrad/stochastic-2nd-order-methods -  current belief is that the main issue in optimizing with stochastic gradients is to reduce the variance of the gradients to improve convergence rates - not clear why Kaczmarz would help with that compared to other techniques, or why it would help at all?_x000D_
_x000D_
Clustering by l1 relaxations also doesn't sound ambitious or novel or impactful._x000D_
_x000D_
Grant repeats the unfortunate but common misconception that there is a 'tradeoff between accuracy and interpretability among state-of-the-art methods.' The reality is that accurate models that work in predictable ways and are semantically regularized are both interpretable and state-of-the-art._x000D_
Grant states goal is to implement MediBoost in an R package 'with a suite of interpretable models.' Providing some open source R software is not sufficiently ambitious. Lastly, not clear what the notion of interpretability is here, or how they will test it._x000D_
_x000D_
Proposal also suggests bandit optimization for adaptive sampling for A/B testing. This also feels very mature; fresher takes try to tackle the 'crowd-source' paradigm and attempt to model the individual rater variance..._x000D_
_x000D_
_x000D_
_x000D_
_x000D_
In the context of the five review elements, please _x000D_
evaluate the strengths and weaknesses of the proposal with respect to broader impacts._x000D_
_x000D_
Proposal plan was reasonable and well-organized._x000D_
_x000D_
Team and institution are proposing activities they have notable expertise and resources for._x000D_
_x000D_
Proposal also suggests a free 2 week summer program in data science. Feels a bit lightweight in terms of potential impact and potential outreach, along with a continued weekly seminar series._x000D_
_x000D_
_x000D_
Please evaluate the strengths and _x000D_
weaknesses of the proposal with respect to any additional solicitation-specific review criteria, if _x000D_
applicable_x000D_
_x000D_
Potential for synergistic activities okay._x000D_
_x000D_
Summary Statement_x000D_
_x000D_
Not clear how proposal would push the state of the art or data science foundations._x000D_
_x000D_
</t>
  </si>
  <si>
    <t xml:space="preserve">In the context of the five review elements, please _x000D_
evaluate the strengths and weaknesses of the proposal with respect to intellectual merit._x000D_
_x000D_
The proposal has 3 aims.  Aim 1 contains technical components such as data collection, analysis, algorithm development/analysis of high-dim data.  _x000D_
_x000D_
+ The PIs present the technical problems in a coherent manner: compressing learning, dimension reduction, interpretable models for understanding results.   _x000D_
+ The PIs have skills span stats, learning, algo, theory and software skills, and are suitable for proposed work._x000D_
_x000D_
Aim 2 is training students and researchers in the data science field.  I personally feel this student training section is weaker than aim 1.  _x000D_
_x000D_
Aim 3 is creating links between academia and industry. _x000D_
_x000D_
+ The PIs offer quite an extensive list of industrial partners._x000D_
- The nature of the industrial partnership and collaboration is unclear. _x000D_
_x000D_
_x000D_
In the context of the five review elements, please _x000D_
evaluate the strengths and weaknesses of the proposal with respect to broader impacts._x000D_
_x000D_
The broad impact includes increasing diversity in data science and mentoring undergrad research. The PIs have a track record of caring for under-represented student body._x000D_
_x000D_
Please evaluate the strengths and _x000D_
weaknesses of the proposal with respect to any additional solicitation-specific review criteria, if _x000D_
applicable_x000D_
_x000D_
_x000D_
_x000D_
Summary Statement_x000D_
_x000D_
Overall, this is a good proposal. High-dim data as the running theme of the research problems for intellectual merit. Aims 2 and 3 can be strengthened._x000D_
_x000D_
</t>
  </si>
  <si>
    <t>1740904</t>
  </si>
  <si>
    <t>Yener</t>
  </si>
  <si>
    <t xml:space="preserve"> Panel Summary       
  _x000D_
Description: _x000D_
The project proposes to address fundamental problems related to missing data. Current approaches assume data are missing randomly. In many real cases data can come from various sources, and data may be missing in blocks. A generalization of this problem is when 'all data is missing' or "completion from cold start", i.e. one wants to probe unknown data in a manner that increases their utility. To support these research goal, the proposal will leverage and extend an existing data science institute at RPI. However the description of how the TRIPODS institute will be integrated to the existing one is very limited. _x000D_
_x000D_
_x000D_
Intellectual Merit: _x000D_
_x000D_
Strengths _x000D_
+ The proposed research work is interesting. The first problem presents an interesting balance question between linear-algebra and matrix-completion techniques, topics that are being pursued by relatively disjoint sets of people. _x000D_
+ The second problem is harder, and the proposed research more ambitious, but reasonable. _x000D_
+ Certain approaches for the first topic have appeared in both CS and statistics. _x000D_
+ The PIs are well-qualified to perform the proposed research. _x000D_
_x000D_
Weaknesses _x000D_
- While TCS/machine learning and statistics are represented in the senior personnel, some concerns were expressed about mathematics. _x000D_
- The proposal includes passing references to the potential for synergies among the three communities, but lacks a concrete example illustrating such synergies. _x000D_
- The description is very limited on institute building/integration activities._x000D_
_x000D_
_x000D_
_x000D_
Broader Impact: _x000D_
_x000D_
Strengths _x000D_
+ The proposed research topics draw directly from industrial and domain science applications._x000D_
+ Domain sciences are represented in the senior personnel, and the collaboration with industry seems to be active. This is expected to produce broader impacts. _x000D_
_x000D_
Weaknesses _x000D_
- Broader impacts in education are fairly standard. _x000D_
_x000D_
TRIPODS-specific criteria: _x000D_
_x000D_
Strengths: _x000D_
+ The proposal addresses two of the broad themes of the solicitation, application-aware foundational research and industry engagement. _x000D_
+ The TRIPODS institute will be part of an umbrella institute, leveraging existing experience and infrastructure._x000D_
_x000D_
Weaknesses _x000D_
- Very little attention has been given to the center-like activities of the project._x000D_
- The plans for integration and interaction with the umbrella institute are not adequately described. _x000D_
_x000D_
Collaboration and Evaluation Plan: _x000D_
The collaboration plan is adequate, although the plan is not very concrete about the synergies among the communities. The evaluation plan for the center is very short and not well thought-out. _x000D_
_x000D_
Data Management Plan: _x000D_
The data management plan, including plans for public dissemination, is satisfactory.  _x000D_
_x000D_
What is bold, exciting, high risk/reward, or potentially transformative? _x000D_
The proposed research includes interesting and exciting topics, as well as some higher-risk endeavors. However, the project description does not make a case for the transformative potential of the proposed research._x000D_
_x000D_
Suggestions to PI: _x000D_
More attention on the institute-related aspects of the solicitation would have made the proposal stronger. _x000D_
_x000D_
Justification for Panel Rating:_x000D_
The proposal addresses interesting topics in the foundations of data science. However the proposal is weak in describing and preparing the institute-related aspects of the TRIPODS solicitation. _x000D_
_x000D_
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</si>
  <si>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is on analyzing data with missing chunks that are not random. Within this context, the PIs from RPI and UV propose to set up a Tripods Institute jointly, with collaboration from Optum Labs (LoCs attached). The premise is that data matrices have complete portions missing, and one cannot assume that the missing elements are distributed according to some nice iid distribution -- though they do likely follow a structure, this structure does not lend itself easily to random sampling. Additionally, there are multiple related data sets, in conjunction they give information about the entity that they refer to, even though they will contain big missing parts. This problem is considered under two major questions, one referring to data coupling, and one referring to data design from cold start (which involves sampling data in an economical way in the presence of dependencies). Together, they consider finding the relationships between data from different domains (the example here is between medical and insurance data) about the same entities, as well as the analysis of cost and accuracy of prediction, given structure within data, of sampling data in order to make inferences about it.  The PIs have collaborations with MSSM and Optum Labs for obtaining medical/insurance data. as well navigating/validating it. _x000D_
_x000D_
The proposal requests four graduate students for Phase I of the project, with course development, workshops, and outreach through the lifetime of the work._x000D_
_x000D_
The project has a well defined set of problems that are tied to real life data, with commitment from the owners of the data and domain experts to assist in obtaining/managing/analyzing the data. This proposal ties its theoretical work strongly to a real life dataset and a real problem. The roles of the participants are well defined (though rationale could be explained better), and the results would help with real world data._x000D_
_x000D_
The proposal itself has a tight focus and a well defined problem. Even though the problem definition is written for a relatively general audience, reading it one feels like it's a research proposal rather than a center proposal (it seems that the funds will be used on the existing center at RPI, but this is not explicitly mentioned). While this is OK for Phase I, one thing I would have liked to see would be a longer term vision for this problem, as it is quite narrow even for a Phase I, and certainly for Phase II. The transition, if it happens, from Phase I to Phase II, in terms of research programs, could be explained a little bit to make a convincing case that this phase is not terminal for this proposal._x000D_
_x000D_
In terms of application awareness, industry engagement, and looking at the peculiar properties of domain specific data, this proposal scores high points. In this sense, it does tick the boxes of what a DS proposal should cover. The problems are discussed at a reasonable level, directions for solutions and a timeline are given in reasonable detail._x000D_
_x000D_
_x000D_
In the context of the five review elements, please _x000D_
evaluate the strengths and weaknesses of the proposal with respect to broader impacts._x000D_
_x000D_
The broader impacts for training are fairly standard, except there is mention of K-12 engagement (in a fairly cursory way). A positive point is that the PIs claim impact based on developments on analyzing and prediction data with missing portions; the applications should benefit society. If they can achieve this, it would likely be more noteworthy than a reading group and a couple of updated classes, which is fairly standard fare._x000D_
_x000D_
_x000D_
Please evaluate the strengths and _x000D_
weaknesses of the proposal with respect to any additional solicitation-specific review criteria, if _x000D_
applicable_x000D_
_x000D_
The synergy here is a bit different than the other proposals that I have read as they are starting from a data set provided and validated domain experts, and going to the theory from there. It is commendable that they will have a language not only among different disciplines, but also between academia and labs/hospitals, etc. In that sense there is an admirable vision there. On the flip side, the scientific vision, perhaps since they start out with the particular application, is more limited. It would be nice to see a balance there, where the research vision extends below this application and this general class of problems, for the future. This would also be useful for understanding the scientific terms of moving from Phase I to Phase II better. There is a plan for doing that, with some commitment, but it would be stronger with a stronger and broader philosophy._x000D_
_x000D_
Most other things are satisfactory, success criteria are laid out clearly with a generic evaluation plan._x000D_
_x000D_
_x000D_
_x000D_
Summary Statement_x000D_
_x000D_
A good proposal, tending towards a pure research proposal that could benefit from a bit more of philosophy, "position," and long term planning._x000D_
_x000D_
_x000D_
</t>
  </si>
  <si>
    <t xml:space="preserve">In the context of the five review elements, please _x000D_
evaluate the strengths and weaknesses of the proposal with respect to intellectual merit._x000D_
_x000D_
This research proposal concerns two fundamental questions in the_x000D_
area of the TRIPODS solicitation:_x000D_
_x000D_
Data Coupling:  When sampling a large population,  the missing data_x000D_
may not be random.  For example, if the population has two main_x000D_
properties, one may have data for primarily for members with one of the_x000D_
properties, but not both.  How can one deal with such a population?_x000D_
_x000D_
Dependent data: the nature of the population may induce a dependence_x000D_
between individual data points. How can this be taken into account?_x000D_
_x000D_
The proposal describes a clear and viable plan for addressing_x000D_
these important problems.  However there are some shortcomings._x000D_
An issue relevant to TRIPODS is the balance between math, stat and CS._x000D_
In my opinion, math is a minor player in the proposed work.  One could_x000D_
have a difference of opinion as to who is considered math vs. stat and_x000D_
CS, but compared to other proposals this one has a limited_x000D_
contribution from math._x000D_
_x000D_
The more severe issue is that this proposal does not describe an_x000D_
Institute in the sense of TRIPODS: it is a research proposal for_x000D_
a group to pursue specific problems over a 3-year period._x000D_
No matter how interesting and worthy are those problems, the lack_x000D_
of a clear description in the proposal for how the project_x000D_
fits TRIPODS, makes this a weak proposal._x000D_
Furthermore, the plans for Phase II are described minimally.  This_x000D_
is problematic since the whole purpose of this solicitation is to_x000D_
ramp-up to Phase II._x000D_
_x000D_
In the context of the five review elements, please _x000D_
evaluate the strengths and weaknesses of the proposal with respect to broader impacts._x000D_
_x000D_
The project intends to train graduate students, teach courses, and_x000D_
develop new courses, all of which are positive broader impacts._x000D_
_x000D_
Please evaluate the strengths and _x000D_
weaknesses of the proposal with respect to any additional solicitation-specific review criteria, if _x000D_
applicable_x000D_
_x000D_
The projects integrates research and training in the sense that PhD_x000D_
students will be involved in the research.  The integration of a_x000D_
course curriculum is less well developed, at least compared to other_x000D_
proposals._x000D_
_x000D_
The proposal touches on many of the TRIPODS themes, but a critical_x000D_
omissions is "developing the capacity of Phase II operations".  This_x000D_
aspect of the proposal is lacking because the proposal does not_x000D_
convey a vision for what are the possibilities of Phase II._x000D_
_x000D_
In addition (and not surprisingly given the previous comment), the_x000D_
evaluation plan is inadequate.  While research products and students_x000D_
are a measure of success, what is needed is an evaluation plan that_x000D_
looks at the *processes and procedures* used to ramp-up and run_x000D_
the institute.  How to you choose people?  What activities should_x000D_
happen initially?  How often should the group evaluate its progress?_x000D_
Those are the question that need to be answered if and Institute is_x000D_
to run well.  This involves frequent date collection, using a_x000D_
variety of instruments, and lots of personal contact and engagement_x000D_
with the participants.  One cannot do formative evaluation just by_x000D_
looking at final products._x000D_
_x000D_
_x000D_
_x000D_
Summary Statement_x000D_
_x000D_
This proposal concerns two interesting and important research problems_x000D_
in the general area of big data.  As a pure research proposal, it is_x000D_
very good.  But as a TRIPODS proposal is is poor because it does not_x000D_
convey a vision for what a TRIPODS Institute could become._x000D_
_x000D_
The data management plan is adequate: posting papers and talk, putting_x000D_
software on GitHub, mailing list for announcements._x000D_
_x000D_
_x000D_
</t>
  </si>
  <si>
    <t xml:space="preserve">In the context of the five review elements, please _x000D_
evaluate the strengths and weaknesses of the proposal with respect to intellectual merit._x000D_
_x000D_
Strength: +_x000D_
Weakness: - _x000D_
_x000D_
+ The proposal identifies two specific research topics that are interesting and appropriate for the solicitation. _x000D_
_x000D_
+ Certain methods about the first two topic have independently appeared in the context of randomized linear algebra and statistics. _x000D_
_x000D_
+ The PIs are well-qualified to perform the research, and they have expertise in the 3 areas. _x000D_
_x000D_
+ The research topics come from industrial applications (health insurance), and bioinformatics. Thus the proposed research addresses two of the broad themes of the solicitation, application-aware research and industry engagement. _x000D_
_x000D_
+ The proposal describes how the synergy between TCS and machine learning will work in one of the topics. _x000D_
_x000D_
- On the other hand, it is not clear how the statistics side will contribute (for instance in the CUR topic). This may reflect the fact that the statistics expertise comes from U Virginia, while the main location of the proposed institute is RPI. This probably indicates that this collaboration requires strengthening (which is however likely to happen because some of the data come from the UV side)_x000D_
_x000D_
- The proposal does include ideas on developing common terminologies and concepts (for the 3 areas), which is a significant problem for data science. In particular, the CUR example which has appeared both in TCS/Appied Math and separately in Statistics is a missed opportunity: it would be nice to come up with a way to use it as an example of breaking this language barrier._x000D_
_x000D_
In the context of the five review elements, please _x000D_
evaluate the strengths and weaknesses of the proposal with respect to broader impacts._x000D_
_x000D_
- The impact in education is standard. The proposal does mention the development of new courses, but the plan does not appear to be very concrete and it certainly does not directly address curricula unification. _x000D_
_x000D_
+ The potential for impact in industrial and scientific applications is very good._x000D_
_x000D_
Please evaluate the strengths and _x000D_
weaknesses of the proposal with respect to any additional solicitation-specific review criteria, if _x000D_
applicable_x000D_
_x000D_
+ RPI and U of Virginia already host centers whose broad mission is related to Data Science. The proposal is to create the TRIPDS institute as part of the existing one at RPI. This makes sense and frees up funds for research. _x000D_
_x000D_
- One would expect that the proposal includes a review of current activities in the host center, and a description of how the proposed institute will integrate and interact with the center. There should also be plans on how to separately advertise and highlight the activities funded by the TRIPODS grant. _x000D_
_x000D_
- The evaluation plans are not concrete. "Readiness for Phase II" is not a good metric, how do you measure it? _x000D_
_x000D_
+ The proposal includes some concrete plans for expansion into Phase II, including a collaboration with IBM and preliminary discussions with potential TRIPODS awardees._x000D_
_x000D_
Summary Statement_x000D_
_x000D_
The proposal has a strong case for intellectual merit, and broader impact to scientific and industrial applications. The proposed institute will operate as part of an existing Center (on Data Science) at RPI. The ability to utilize prior experience and infrastructure is positive. A weak point is that the proposal does not provide sufficient details about the integration and the interaction with the existing Center._x000D_
_x000D_
</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</si>
  <si>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Algorithms for Optimal Walks_x000D_
_x000D_
L: 1749173 Borgwardt, Steffen U of Colorado Denver $  470,400_x000D_
_x000D_
_x000D_
P180207 NC AF CAREER/CRII Panel A (14 panelists; 0 decl confl),_x000B_  on 10/24/2017, recommended as Not Competitive (V,F,F,F/P)_x000D_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</si>
  <si>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1749315</t>
  </si>
  <si>
    <t xml:space="preserve"> Panel Summary       
 The goal of this proposal is to develop optimization and learning algorithms that can provably take advantage of and adapt to the local geometric properties of the optimization problem to enjoy faster global convergence and more efficient implementation. Specifically, the PI proposes new optimization and learning algorithms that enjoy strong guarantees under a local relaxation of  strong-convexity, what the PI calls the HEB (Holderian-type error bound) condition. _x000D_
_x000D_
Strengths:_x000D_
-- The technical part is nicely presented with clearly defined goals and possible approaches._x000D_
-- The PI plans to explore applications of these algorithms in real-world, e.g., a collaboration with Alibaba._x000D_
 _x000D_
Weakness:_x000D_
-- While the HEB condition is a nice  natural relaxation of strong convexity, the overall agenda is not sufficiently broad for a CAREER proposal._x000D_
-- PI has already delivered a number of results in the machine learning literature leveraging the HEB condition, so the proposed work is somewhat incremental._x000D_
_x000D_
BROADER IMPACTS:_x000D_
The education and broader impact components are strong; they include outreach to high schools, tutorials and workshops at major conferences._x000D_
_x000D_
Summary:_x000D_
This is a good proposal leveraging a relaxed condition to solve optimization problems. The panelists felt that the proposed work is not sufficiently visionary for a CAREER proposal. _x000D_
_x000D_
PANEL RECOMMENDATION: Justification, including key strengths and critical weaknesses._x000D_
__Highly competitive (HC)_x000D_
__Competitive (C)_x000D_
_X_Low Competitive (LC)_x000D_
__Not Competitive (NC)_x000D_
 _x000D_
The summary was read to the panel and the panel concurred that the summary accurately reflects the panel discussion. 
</t>
  </si>
  <si>
    <t>WWONG</t>
  </si>
  <si>
    <t>P180136</t>
  </si>
  <si>
    <t xml:space="preserve"> RI: CAREER/ML: Wong</t>
  </si>
  <si>
    <t xml:space="preserve"> Panel Summary       
  A brief statement of what the proposal is about_x000D_
_x000D_
The PI proposes to research first-order fast convex optimization algorithms that use *local geometry* close to the optimum to achieve faster *global* convergence. This relaxes the strong convexity assumption into a local assumption about the geometry close to the optimum. _x000D_
_x000D_
Intellectual merit_x000D_
_x000D_
--Strengths_x000D_
_x000D_
The approach is very promising as it relaxes the rather strong condition of strong convexity and replaces it by something much more benign. This relaxed condition might be found in much broader function classes than strong convexity. The PI has a very strong track record making a successful execution likely. _x000D_
_x000D_
--Weaknesses_x000D_
_x000D_
The panel felt that the proposed research is not as innovative and that the PI plans to largely continue previous work. Also, the panel remarks that a closer comparison to the work on linear convergence under the PL condition [68] is necessary and some of the statements such as about 1/n^2 type rates in SLT are subject to rather strong assumptions and highly optimistic. More generally, there were concerns voiced about relevance and applicability given the strong assumptions required that are sometimes required. _x000D_
_x000D_
Educational activities, including integration of research and education _x000D_
--Strengths_x000D_
_x000D_
The PI plans to release the algorithm as open source making them available to a larger community._x000D_
_x000D_
--Weaknesses_x000D_
_x000D_
N/A_x000D_
_x000D_
Other broader impacts, including enhancing diversity_x000D_
_x000D_
--Strengths_x000D_
_x000D_
see above. The open source code could also have significant impact beyond the ML/Opt community. _x000D_
_x000D_
--Weaknesses_x000D_
_x000D_
N/A_x000D_
_x000D_
Department support letter_x000D_
_x000D_
present._x000D_
_x000D_
_x000D_
Data management plan_x000D_
_x000D_
appropriate._x000D_
_x000D_
Post-doctoral mentoring plan (if applicable)_x000D_
_x000D_
N/A_x000D_
_x000D_
Collaborations (if applicable)_x000D_
_x000D_
N/A_x000D_
_x000D_
Results of prior NSF research (if applicable)_x000D_
_x000D_
N/A_x000D_
_x000D_
Additional suggestions_x000D_
_x000D_
N/A_x000D_
_x000D_
Panel recommendation and justification, including brief statement of _x000D_
key strengths and/or critical weaknesses_x000D_
_x000D_
The proposed research is a very interesting extension of the PI previous work. The panel felt however that the proposal lacks slightly in innovation and PI missed to discuss important references. _x000D_
_x000D_
Ranking (check one)_x000D_
__  Highly Competitive_x000D_
__  Competitive_x000D_
_X_  Low Competitive_x000D_
__  Not Competitive _x000D_
_x000D_
The summary was read by the panel, and the panel concurred that the summary accurately reflects the panel discussion._x000D_
</t>
  </si>
  <si>
    <t>Proposal ID: IIS - 1749315_x000D_
Title: "CAREER: Locally Adaptive Learning and Optimization with Faster Global Convergence"_x000D_
PI: Tianbao Yang_x000D_
_x000D_
This proposal was reviewed in a Robust Intelligence panel (P180136). This was a panel that took place on Oct 26-27, 2017 and the panel had 19 proposals. The project was discussed and a panel summary was prepared by the panel. The project received reviews from 3 panelists with self-rated expertise 1, 2 and 2 (on a 1-3 scale, with 1 the highest expertise). The reviewers scored the proposal E/V, V and G/F respectively. There was also an ad hoc reviewer who gave the proposal a V. The panel rated the proposal Low Competitive (LC). _x000D_
_x000D_
The status of the conflicts of interest for all panelists is recorded in the Review Record. The panelists declared their conflicts of interest, were not assigned conflicted proposals for review, did not have access to other reviews for the conflicted proposals via the Interactive Panel System, and left the meeting during both the evaluation and when final ranking discussions involving the conflicted proposals took place._x000D_
_x000D_
The Robust Intelligence panel consisted of highly qualified Artificial Intelligence and Machine Learning researchers. _x000D_
_x000D_
Summary_x000D_
This proposal aims to develop new optimization algorithms for learning that can take advantage of the local sharpness of the optimization surface, characterized by the Holderian-type error bound (HEB) condition, with the intent to develop algorithms with faster global convergence, efficient implementation and wider applicability to real-world problems. The specific goals of the PI include:_x000D_
1) Developing novel deterministic, stochastic and online optimization algorithms based on the HEB condition_x000D_
2) Develop new theories of regularized Empirical Risk Minimization for statistical learning_x000D_
3) Applying (1) and (2) to novel applications in machine learning_x000D_
_x000D_
_x000D_
Intellectual Merit_x000D_
_x000D_
There was a general consensus that the central idea of the proposal -- using local sharpness characterized by the HEB -- was a promising direction. The panelists also found the PI's track record to be very strong._x000D_
_x000D_
However, there were two key weaknesses that the panelists pointed out. First, the use of the HEB condition has been previously explored by others and by the PI himself. As such, the proposed work is an extension of the PI's previous research on the topic. Panelists viewed the proposal as not very innovative and incremental. The PI seems to be "turning the crank" on his meta-algorithm to investigate another research direction. Second, all the reviewers wanted the PI to provide more details on the proposed research plan as the PI spends much of the text describing the problem and his past work. Specifically, they wanted the PI to do a better job articulating what challenges were left to overcome and how he would do so._x000D_
_x000D_
One panelist gave a score of E/V. The panel took this panelist's views into account during the discussion. After discussing the proposal, this panelist agreed with the assessment that the proposed work seemed incremental and agreed with the Low Competitive rating._x000D_
_x000D_
Broader Impact_x000D_
Optimization is a large part of machine learning and this proposal would have a far-reaching impact. The HEB condition seems to be more widely applicable than strong convexity. Consequently, the methods from this proposal could potentially lead to new application domains for optimization and learning._x000D_
_x000D_
Educational Plan and Outreach_x000D_
Panelists appreciated the open source release of the algorithm but they felt that the other aspects of the education plan were very standard._x000D_
_x000D_
Budget_x000D_
1.0 month PI summer salary/yr_x000D_
1 grad student at 50% RA and 1 grad student at 25% RA for all years_x000D_
~$2000 domestic travel /yr_x000D_
~$3000 international travel/yr_x000D_
_x000D_
Recommendation_x000D_
This proposal is incremental and needs more details on the proposed research. As such, I recommend declining the proposal in its present form._x000D_
_x000D_
Weng-Keen Wong, Program Director _x000D_
IIS/Robust Intelligence</t>
  </si>
  <si>
    <t>ZP1005922</t>
  </si>
  <si>
    <t>Allen-Zhu</t>
  </si>
  <si>
    <t>zeyuan@csail.mit.edu</t>
  </si>
  <si>
    <t xml:space="preserve">In the context of the five review elements, please _x000D_
evaluate the strengths and weaknesses of the proposal with respect to intellectual merit._x000D_
_x000D_
Intellectual merit._x000D_
_x000D_
1. I view the potential of this project as huge. (STRENGTH)_x000D_
_x000D_
The HEB condition is relatively new notion but is capable of explaining many machine learning tasks that we have not fully understood so far. If enough effort is invested into this project, the resulting bulk of works in 5 years could be a very great mini-textbook covering all aspects of HEB (e.g. in online setting, stochastic setting, etc). This can certainly benefit researchers within and across relevant fields._x000D_
_x000D_
2. Creativity and Originality. (WEAKNESS)_x000D_
_x000D_
Prof. Yang is one of the main authors pushing this new, potentially transformative HEB notion in the past 2 years. However, the techniques for proving convergence theorems under the HEB notion (in his published works + this proposal) have not fully surprised me and may not be considered very "creative"._x000D_
_x000D_
3. The proposal is very well-planed (STRENGTH)_x000D_
_x000D_
Prof. Yang gave quite a number of detailed directions in this proposal and *each* of them, if succeeded, could result in a very descent paper into ICML/NIPS. _x000D_
_x000D_
4. The team is one of the most qualified ones in the world to work on this problem. (STRENGTH)_x000D_
_x000D_
Prof. Yang and his close collaborator Prof. Lin are technically very strong and among the best researchers on mathematical optimization to work on this project. This is why I would also recommend them to not only conduct research in this area, but also write a mini-textbook to benefit others._x000D_
_x000D_
5. Adequate resources available to PI (NO COMMENT)_x000D_
_x000D_
Not much resources are needed besides human resources since this is a mostly-theoretical project. Based on his past collaborations, Prof. Yang has shown access to good students and collaborators._x000D_
_x000D_
In the context of the five review elements, please _x000D_
evaluate the strengths and weaknesses of the proposal with respect to broader impacts._x000D_
_x000D_
Broader Impacts_x000D_
_x000D_
The potential of this project can be potentially big in terms of (Broader Impacts). If executed properly, new algorithms based on this new HEB notion can touch lots of sub-areas of CS and give faster and self-adaptive algorithms. _x000D_
_x000D_
Prof. Yang also has access to researchers (e.g. Rong Jin) in industrial labs, and has demonstrated the ability to transform theory into practice._x000D_
_x000D_
Please evaluate the strengths and _x000D_
weaknesses of the proposal with respect to any additional solicitation-specific review criteria, if _x000D_
applicable_x000D_
_x000D_
Prof. Yang also gave detailed and concrete educational proposals to hit high school students and under-represented people. I am not sure how this is related to the NSF Career grant, but Prof. Yang seems to have put lots of serious thinking into it. This deserves some support from NSF._x000D_
_x000D_
Summary Statement_x000D_
_x000D_
Overall, this proposal is surrounding a new HEB notion (mostly) for convex functions, and regarding promising results (in mathematical optimization) one can potentially prove under HEB. Such results can give new algorithms and explanations to various important tasks in machine learning._x000D_
_x000D_
The main weakness is that the proofs and the final theorems one can potentially show (based on my reading of the proposal) may not be very surprising in the end. It is mostly generalizations (in all different directions) of existing tools. _x000D_
_x000D_
Of course, I cannot rule out the possibility of finding something really surprising in the end: there may be something generalizations that seem trivial, but require very new insights._x000D_
_x000D_
</t>
  </si>
  <si>
    <t xml:space="preserve">In the context of the five review elements, please _x000D_
evaluate the strengths and weaknesses of the proposal with respect to intellectual merit._x000D_
_x000D_
The goal of this proposal is to develop optimization and learning algorithms that can provably take advantage of and adapt to the local geometric properties of the optimization problem to enjoy faster global convergence, wider applications, and efficient implementations. _x000D_
_x000D_
Specifically, the PI proposes new optimization and learning algorithms that enjoy strong guarantees under a certain local relaxation of  strong-convexity, namely the so-called HEB condition  (Holderian-type error bound), which captures the local sharpness of the objective function in Euclidean and non-Euclidean spaces. The PI has already produced preliminary results in this direction and proposes to further deepen that research._x000D_
_x000D_
_x000D_
In the context of the five review elements, please _x000D_
evaluate the strengths and weaknesses of the proposal with respect to broader impacts._x000D_
_x000D_
The education and broader impact components are strong (they include outreach to high schools, tutorials and workshops at major conferences)._x000D_
_x000D_
Please evaluate the strengths and _x000D_
weaknesses of the proposal with respect to any additional solicitation-specific review criteria, if _x000D_
applicable_x000D_
_x000D_
_x000D_
_x000D_
Summary Statement_x000D_
_x000D_
The goal of this proposal is to develop optimization and learning algorithms that can provably take advantage of and adapt to the local geometric properties of the optimization problem._x000D_
_x000D_
Pros_x000D_
-- The technical part is nicely presented with clearly defined goals and possible approaches._x000D_
-- The education&amp;broader impact component is strong (includes outreach to high schools, tutorials and workshops at major conferences)._x000D_
_x000D_
Cons_x000D_
-- The proposed research agenda is somewhat narrow for a CAREER proposal; it is all centered around one single condition, the so-called HEB (Holderian-type error bound), which captures the local sharpness of the objective function in Euclidean and non-Euclidean spaces. _x000D_
_x000D_
_x000D_
</t>
  </si>
  <si>
    <t>YP1005925</t>
  </si>
  <si>
    <t>Banerjee</t>
  </si>
  <si>
    <t>banerjee42@gmail.com</t>
  </si>
  <si>
    <t xml:space="preserve">In the context of the five review elements, please _x000D_
evaluate the strengths and weaknesses of the proposal with respect to intellectual merit._x000D_
_x000D_
--Strengths_x000D_
_x000D_
+ The PI plans to make systematic advances on the design and analysis of optimization algorithms based on the HEB condition_x000D_
_x000D_
+ In the context of deterministic and stochastic optimization, the PI plans to extend existing methods, such as ADMM, adagrad, SVRG, one pass, to the setting of HEB optimization_x000D_
_x000D_
+ For optimization, the PI plans to explore algorithms which can be efficient without knowing the HEB constants_x000D_
_x000D_
+ The PI plans to extend existing convergence results for ERM to consider functions which satisfy the HEB condition_x000D_
_x000D_
+ The PI has a strong track record on the theme of the proposal and well qualified to carry out the research_x000D_
_x000D_
--Weaknesses_x000D_
_x000D_
- The discussion under 'novel applications' do discuss interesting directions, but lacks details. Similarly, the empirical evaluation plan lacks details._x000D_
_x000D_
- Couple of small details which could have strengthened the presentation:_x000D_
HEB is close to KL condition, which is being actively studied, comparing the work plan with this development will be important;_x000D_
when discussing 1/n^2 type rates in SLT, its important to note that such results are currently achievable under (strong) assumptions about the problem;_x000D_
examples of HEB functions which are not strongly convex and are/can be used in mainstream machine learning will be instructive._x000D_
_x000D_
_x000D_
In the context of the five review elements, please _x000D_
evaluate the strengths and weaknesses of the proposal with respect to broader impacts._x000D_
_x000D_
--Strengths_x000D_
_x000D_
+ The PI has a track record of mentoring high school students and undergrads, and plans on continuing to do so_x000D_
_x000D_
+ The PI has a track record of research dissemination based on tutorials, and plans on continuing to do so_x000D_
_x000D_
_x000D_
--Weaknesses_x000D_
_x000D_
- The plans for educational activities are somewhat standard_x000D_
_x000D_
Please evaluate the strengths and _x000D_
weaknesses of the proposal with respect to any additional solicitation-specific review criteria, if _x000D_
applicable_x000D_
_x000D_
_x000D_
_x000D_
Summary Statement_x000D_
_x000D_
_x000D_
The PI plans to generalize a family of optimization and statistical learning theory results to a broad family of loss functions which satisfy the HEB condition. The research plan looks strong, the PI has a commendable track record and is well qualified to carry out the research._x000D_
_x000D_
_x000D_
</t>
  </si>
  <si>
    <t xml:space="preserve">In the context of the five review elements, please _x000D_
evaluate the strengths and weaknesses of the proposal with respect to intellectual merit._x000D_
_x000D_
The objective of the proposal is to develop intelligent optimization and learning algorithms that can leverage and adapt to the local geometric properties of the optimization problem to enjoy faster global convergence, wider applications and efficient implementation. Overall the objective is certainly interesting and could lead to progress in optimization algorithms. However, most of the proposed research agenda is building upon the so-called HEB (Holderian-type error bound), which captures the local sharpness of the objective function in Euclidean and non-Euclidean spaces -- this condition is certainly more general that local strong convexity and holds for a larger family of functions. The PI has already delivered a number of results using the HEB condition in the past and now proposes to leverage this condition in order to design algorithms for a number of problems in deterministic, stochastic, and online optimization, empirical risk minimization for statistical learning, and also in a number of machine learning and big data problems. Most of the proposed research agenda is theoretical, with a small applied component evaluating the methods in real data._x000D_
_x000D_
The overall agenda does not feel sufficiently broad for a CAREER proposal. The HEB condition is a relaxation of strong convexity that seems to characterize local sharpness, but it is unclear whether it will revolutionize optimization. The PI has already delivered a number of results in the optimization and machine learning literature leveraging this condition, so the proposed work feels a bit incremental. I can see this work resulting in a number of publishable results, but the proposal seems to lack the vision that one would expect from a CAREER proposal._x000D_
_x000D_
In the context of the five review elements, please _x000D_
evaluate the strengths and weaknesses of the proposal with respect to broader impacts._x000D_
_x000D_
The broader impacts of the proposed work are reasonable but not outstanding. I am not convinced that the proposed research will make a strong impact in optimization, especially since a serious evaluation component of the proposed theoretical research is not part of the proposal. The educational component of the proposal is reasonable, but is mostly focused around relatively straight-forward activities that most faculty is involved in. The outreach to high schools is an interesting component of the proposal._x000D_
_x000D_
Please evaluate the strengths and _x000D_
weaknesses of the proposal with respect to any additional solicitation-specific review criteria, if _x000D_
applicable_x000D_
_x000D_
See discussion above._x000D_
_x000D_
Summary Statement_x000D_
_x000D_
A good proposal leveraging a relaxed condition to solve optimization problems. It is not sufficiently visionary for a CAREER proposal. Relatively standard broader impacts._x000D_
_x000D_
</t>
  </si>
  <si>
    <t>UK0919368</t>
  </si>
  <si>
    <t>Feldman</t>
  </si>
  <si>
    <t>vitaly.edu@gmail.com</t>
  </si>
  <si>
    <t xml:space="preserve">In the context of the five review elements, please _x000D_
evaluate the strengths and weaknesses of the proposal with respect to intellectual merit._x000D_
_x000D_
This proposal focuses on designing optimization algorithms that can exploit a certain "sharpness" of the objective function near the optimum. The condition is referred to as HEB and measures the growth of function near the optimum. The PI has showed several algorithms that can exploit this condition. The proposal aims to extend the applications to many different settings in optimization and learning. The proposal also mentions a plethora of related issues (such adaptivity to unknown parameters) that the PI plans to investigate._x000D_
It appears that this condition can often be used as a substitute for strong convexity (which implies the condition with parameter \theta=1/2). Most notably the condition is local and hence substantially weaker. This proposal aims to give algorithms that exploit this condition and also to understand which learning problems give rise to optimization problems satisfying this condition._x000D_
_x000D_
_x000D_
The PI has a strong track record in this area and is well-positioned to pursue the proposed research._x000D_
_x000D_
In the context of the five review elements, please _x000D_
evaluate the strengths and weaknesses of the proposal with respect to broader impacts._x000D_
_x000D_
Broader educational impact is standard and adequate._x000D_
_x000D_
Please evaluate the strengths and _x000D_
weaknesses of the proposal with respect to any additional solicitation-specific review criteria, if _x000D_
applicable_x000D_
_x000D_
_x000D_
_x000D_
Summary Statement_x000D_
_x000D_
I consider this research direction to be fundamental and potentially practically useful. The downside is that the basic idea has already been explored and the main thrust seems relatively incremental. Therefore it seems unlikely to be have substantial additional impact on theory or practice of ML._x000D_
_x000D_
</t>
  </si>
  <si>
    <t>KU0968186</t>
  </si>
  <si>
    <t>Pandurangan</t>
  </si>
  <si>
    <t>GopalPandurangan@gmail.com</t>
  </si>
  <si>
    <t xml:space="preserve">In the context of the five review elements, please _x000D_
evaluate the strengths and weaknesses of the proposal with respect to intellectual merit._x000D_
_x000D_
_x000D_
This project seeks to develop intelligent optimization and learning algorithms that can  adapt to the local sharpness of the optimization problem to give faster global convergence, efficient implementation and wider applications.  The main research directions are: _x000D_
_x000D_
(i) develop new optimization algorithms and statistical learning theories with fast convergence adaptive to the local properties of (empirical) risk minimization_x000D_
problems_x000D_
_x000D_
(ii) investigate novel applications in machine learning and big data analytics_x000D_
_x000D_
(iii) develop  software that can be easily employed by non-optimization_x000D_
experts to solve various learning problems_x000D_
_x000D_
_x000D_
Strengths:_x000D_
1. This proposal seeks to develop new locally adaptive optimization algorithms and analysis of locally adaptive learning theories that can improve the state of the art optimization in machine learning. The overarching theme is designing algorithms with convergence adaptive to the local sharpness  of the optimization problem (e.g., the larger the sharpness the faster the convergence)._x000D_
_x000D_
2. The proposal is technically detailed and the PI has done significant prior work and is ideally suited for this research._x000D_
_x000D_
3. Explores applications of these algorithms in real-world, e.g.,  collaboration with Alibaba._x000D_
_x000D_
Weaknesses:_x000D_
_x000D_
1.	The proposal is somewhat dense which makes it difficult to read, especially for a non-expert._x000D_
_x000D_
_x000D_
In the context of the five review elements, please _x000D_
evaluate the strengths and weaknesses of the proposal with respect to broader impacts._x000D_
_x000D_
Strengths:_x000D_
_x000D_
1.  The proposal seeks to improve convergence rate of optimization algorithms in machine learning which can have a lot of applications in various domains. _x000D_
_x000D_
2.	The education plan is strong with various components such as developing courses, mentoring students, outreach activities to high school students and women in CS, and research dissemination._x000D_
_x000D_
Weaknesses:_x000D_
1.  None._x000D_
_x000D_
_x000D_
Please evaluate the strengths and _x000D_
weaknesses of the proposal with respect to any additional solicitation-specific review criteria, if _x000D_
applicable_x000D_
_x000D_
The proposal integrates education and research very well._x000D_
_x000D_
Summary Statement_x000D_
_x000D_
This looks like a strong proposal in machine learning optimization. The PI has lot of background and experience to carry out this research which can have an impact._x000D_
_x000D_
</t>
  </si>
  <si>
    <t>KH0956530</t>
  </si>
  <si>
    <t>Pokutta</t>
  </si>
  <si>
    <t>sebastian.pokutta@isye.gatech.edu</t>
  </si>
  <si>
    <t xml:space="preserve">In the context of the five review elements, please _x000D_
evaluate the strengths and weaknesses of the proposal with respect to intellectual merit._x000D_
_x000D_
The PI proposes to research first-order convex optimization algorithms that use local geometry information to achieve better global convergence. The "local sharpness" to be used for this purpose are H÷lder-type Error Bound conditions (HEB); simplified one might want to think of those as _local_ strong convexity that should help to achieve faster _global_ convergence. The PI then proposes to essentially HEB-ify a wide range of convex optimization methods including deterministic and stochastic variants. The main tool seems to be an iterative restarting technique: run a basic algorithm A for time t_k adjust parameters as a function of the HEB condition and its associated parameter theta_k. The proposal is well-written and outlines the problems of interest reasonably clear. I would have wished for slightly more detail on the research plan and a little less on the state-of-the-art and the PIs previous work. The PI is well-qualified to execute the research and likely to succeed, however at the same time one might wonder to what extent the proposed research is incremental as it basically seems to follow a certain template of (clever) restarts for a wider class of algorithms._x000D_
_x000D_
The IM of proposal can be essentially reduced to the HEB-ification of various optimization methods (and its applications). I believe the approach of going to local sharpness measures and deriving global fast rates is the main component in terms of IM. Overall, I like the proposed approach and the PI has already demonstrated that it works and has produced several top-tier publications from this. _x000D_
_x000D_
At the core of the HEB-ification approach is the restarting technique of Algorithm 1 and it seems to serve as a general template to turn an algorithm not locally adapative yet into one that is. This template has been used by the PI before and while this gives strong indications that the PI will be successful I cannot help but get the impression that now in a next step the PI wants to apply the same template over and over again to other algorithms: deterministic optimization algorithms, stochastic optimization algorithms (such as e.g., AdaGrad and SVRG), online optimization, etc. While potentially producing important results, it might not be as innovative. The evaluation of the actual innovation and novelty compared to the PIs previous work - is it incremental or is the preliminary work merely a preparation for this proposal - is complicated by the fact that the PI spends rather little time on exactly explaining in detail what the proposed research plan is and where the challenges lie. _x000D_
_x000D_
I believe this is a strong proposal with the concern the mentioned above. _x000D_
_x000D_
_x000D_
In the context of the five review elements, please _x000D_
evaluate the strengths and weaknesses of the proposal with respect to broader impacts._x000D_
_x000D_
The BI of the proposal follows the regular pattern of student education and top-tier dissemination of the results. Notable is the planned development of open source tools that might allow a wider audience to benefit from those algorithms. I also believe that the proposed research could bridge the gap between fast methods in the strong convex case and slower methods in the general convex case. This is especially important as more and more real-world problem solving approaches have to solve continous optimization problems at their core and, as pointed out by the PI, the strong convexity assumption can be restrictive here so that a broader applicable class of algorithms is welcomed._x000D_
_x000D_
Please evaluate the strengths and _x000D_
weaknesses of the proposal with respect to any additional solicitation-specific review criteria, if _x000D_
applicable_x000D_
_x000D_
_x000D_
_x000D_
Summary Statement_x000D_
_x000D_
I believe this is a strong proposal with the concern the mentioned above._x000D_
_x000D_
</t>
  </si>
  <si>
    <t>HP0953471</t>
  </si>
  <si>
    <t>Rao</t>
  </si>
  <si>
    <t>anuprao@cs.washington.edu</t>
  </si>
  <si>
    <t xml:space="preserve">In the context of the five review elements, please _x000D_
evaluate the strengths and weaknesses of the proposal with respect to intellectual merit._x000D_
_x000D_
I found it hard to evaluate the intellectual merit of this proposal. I am not an expert on convex optimization, so I do not know how general the proposed problem is. The PI did not spend a lot of time justifying why the class of HEB problems is natural/general/relevant. I also did not understand why this is the key bottleneck that needs to be overcome in this area of research._x000D_
_x000D_
In the context of the five review elements, please _x000D_
evaluate the strengths and weaknesses of the proposal with respect to broader impacts._x000D_
_x000D_
The PI has a strong publication record in Machine learning related conferences. The PI has a track record of good mentorship for high school and undergraduate students. The PI has given many talks and tutorials at various venues._x000D_
_x000D_
_x000D_
Please evaluate the strengths and _x000D_
weaknesses of the proposal with respect to any additional solicitation-specific review criteria, if _x000D_
applicable_x000D_
_x000D_
_x000D_
_x000D_
Summary Statement_x000D_
_x000D_
I will hold my opinion on this one until I hear what other reviewers have to say._x000D_
_x000D_
</t>
  </si>
  <si>
    <t>wwong</t>
  </si>
  <si>
    <t>AF not making an award either</t>
  </si>
  <si>
    <t>This proposal was co-reviewed by AF and RI and both programs gave it a Low Competitive rating. RI will not be making an award and neither will AF.</t>
  </si>
  <si>
    <t>1749414</t>
  </si>
  <si>
    <t>Moseley</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</si>
  <si>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</si>
  <si>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</si>
  <si>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</si>
  <si>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</si>
  <si>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</si>
  <si>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</si>
  <si>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RSHAH</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</si>
  <si>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</si>
  <si>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1749678</t>
  </si>
  <si>
    <t>Im</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</si>
  <si>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</si>
  <si>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</si>
  <si>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</si>
  <si>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</si>
  <si>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</si>
  <si>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</si>
  <si>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1749734</t>
  </si>
  <si>
    <t>Sidford</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</si>
  <si>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</si>
  <si>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</si>
  <si>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</si>
  <si>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</si>
  <si>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</si>
  <si>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1749747</t>
  </si>
  <si>
    <t>Weinstein</t>
  </si>
  <si>
    <t xml:space="preserve"> Panel Summary       
 Description: This proposal is focussed on attempting to find techniques to prove new lower bounds on data structure problems. The problems discussed in the proposal are of fundamental importance. Proving lower bounds is extremely challenging in computer science. There are few models where we truly have a full understanding of the complexity of computation. Communication complexity lies on one end of this spectrum (we know a lot about it), general models like circuits lies on the other end (there are many basic open questions). The data structures model seems to lie in between. At the same time, data structure problems are practically relevant._x000D_
_x000D_
_x000D_
Strengths_x000D_
_x000D_
+  There is a lot of space here for interaction with other kinds of research (for example understanding the complexity of computing polynomials)_x000D_
+ The technical part of the proposal with respect to data structure lower bounds is written very well with deep fundamental questions and proposed approaches. _x000D_
+ The problems posed are fundamental and some of the questions even if partly addressed (e.g., breaking the logarithmic barrier for static data structure lower bounds) will be significant theoretically._x000D_
_x000D_
_x000D_
Weaknesses_x000D_
- The second (and smaller) part of the proposal titled ?Information theory in modern distributed systems? is missing discussion of relevant work in distributed computing._x000D_
_x000D_
Broader Impact: _x000D_
_x000D_
Strengths:_x000D_
+ The proposal has a good community outreach component that promotes information theory in computer science and bridging different groups that are interested in the area._x000D_
+ The proposal lays out an interesting outreach program for high school students in New York City. _x000D_
_x000D_
Solicitation-specific criteria: _x000D_
The PI has developed a new course on the boundary of information theory and theoretical computer science bringing together researchers from both areas. The PI has also given several tutorials and survey talks and written survey articles._x000D_
_x000D_
Data Management Plan: adequate_x000D_
_x000D_
Justification for Panel Rating: _x000D_
The proposal would have been rated higher if the last part had more details. The proposal could be more competitive if the PI had a longer track record working on data structures. _x000D_
_x000D_
_x000D_
Panel Rating: _x000D_
_ Highly Competitive_x000D_
X Competitive_x000D_
_ Low Competitive_x000D_
_ Not Competitive_x000D_
The summary was read by/to the panel and the panel concurred that the summary accurately reflects_x000D_
the panel discussion._x000D_
_x000D_
_x000D_
_x000D_
</t>
  </si>
  <si>
    <t xml:space="preserve">In the context of the five review elements, please _x000D_
evaluate the strengths and weaknesses of the proposal with respect to intellectual merit._x000D_
_x000D_
Summary: This proposal addresses two majors directions using an information-theoretic approach: (1) data structure lower bounds in the cell probe model and (2) algorithms for distributed systems. It addresses fundamental open problems in establishing improved lower bounds  for static and dynamic data structures in the cell-probe model. It also explores connections to circuits and coding theory._x000D_
_x000D_
_x000D_
Strengths:_x000D_
_x000D_
1.	The technical part of the proposal with respect to data structure lower bounds is written very well with deep fundamental questions and proposed approaches._x000D_
_x000D_
2.	The PI has done a significant work in the area with many publications in top conferences. The PI demonstrates in-depth understanding of research in the area of data structure lower bounds  which has been active area of research in the theory community, especially in the last decade or so._x000D_
_x000D_
3.	The problems posed are fundamental and some of the questions even if partly addressed (e.g., breaking the logarithmic barrier for static data structure lower bounds) will be significant theoretically._x000D_
_x000D_
Weaknesses:_x000D_
1.	The main weakness is the second (and smaller) part of the proposal titled 'Information theory in modern distributed systems.'. This part is not well fleshed out and lacks understanding of significant research in distributed computing and literature done in this area. It is too generally titled, whereas the main focus is on a specific topic (asymmetric information for compressing sensing).  The MapReduce part is also not flesh out well with missing related work on connectivity and related problems in distributed computing._x000D_
_x000D_
2.	The proposal is titled too generally, while the bulk of the proposal focuses on lower bounds for data structures. It would be better if just this was the focus of the whole proposal._x000D_
_x000D_
_x000D_
In the context of the five review elements, please _x000D_
evaluate the strengths and weaknesses of the proposal with respect to broader impacts._x000D_
_x000D_
Strengths:_x000D_
1.	It has a good community outreach component that promotes information theory in computer science and bridging different groups that are interested in the area._x000D_
_x000D_
2.	Lays out an interesting outreach program for high school students in New York City._x000D_
_x000D_
Weaknesses:_x000D_
_x000D_
1. The proposal should elaborate on the industrial impact, in particular, on implementing algorithms and software package. Does the PI have prior experience on this?_x000D_
_x000D_
_x000D_
Please evaluate the strengths and _x000D_
weaknesses of the proposal with respect to any additional solicitation-specific review criteria, if _x000D_
applicable_x000D_
_x000D_
The integration of education and research is good._x000D_
_x000D_
Summary Statement_x000D_
_x000D_
This is a strong proposal if just confined to the first part, namely lower bounds for data structures. It poses fundamental open questions with credible approaches. The PI is very well-suited to undertake research in this area with many significant publications in data structure lower bounds. The practical impact is less clear, since in many cases the difficulty is closing at most a logarithmic  factor  gap._x000D_
_x000D_
</t>
  </si>
  <si>
    <t xml:space="preserve">In the context of the five review elements, please _x000D_
evaluate the strengths and weaknesses of the proposal with respect to intellectual merit._x000D_
_x000D_
This proposal is focussed on attempting to find techniques to prove new lower bounds on data structure problems. The problems discussed in the proposal are of fundamental importance. Proving lower bounds has proven to be extremely challenging in computer science. There are few models where we truly have a full  understanding of the complexity of computation. Communication complexity lies on one of this spectrum (we know a lot about it), general models like circuits like on the other end (there are many basic open questions). The data structures model seems to lie in between. At the same time, data structure problems are actually practically relevant._x000D_
_x000D_
As the PI's proposal illustrates, there is a lot of space here for interaction with other kinds of research (for example understanding the complexity of computing polynomials). Overall, I find the goals of the proposal ambitious, but a good target for this PI, who has a proven track record of succeeding on challenging problems in the past._x000D_
_x000D_
In the context of the five review elements, please _x000D_
evaluate the strengths and weaknesses of the proposal with respect to broader impacts._x000D_
_x000D_
The PI details several initiatives related to education that he is involved in and will be involved in. These involve interacting with high school students and broadly helping with STEM education at an early stage._x000D_
_x000D_
Please evaluate the strengths and _x000D_
weaknesses of the proposal with respect to any additional solicitation-specific review criteria, if _x000D_
applicable_x000D_
_x000D_
_x000D_
_x000D_
Summary Statement_x000D_
_x000D_
This proposal deserves to be funded._x000D_
_x000D_
</t>
  </si>
  <si>
    <t>HG0714371</t>
  </si>
  <si>
    <t>Rubinfeld</t>
  </si>
  <si>
    <t>ronitt@csail.mit.edu</t>
  </si>
  <si>
    <t xml:space="preserve">In the context of the five review elements, please _x000D_
evaluate the strengths and weaknesses of the proposal with respect to intellectual merit._x000D_
_x000D_
This proposal concerns the interplay between information, communication and computation, as applied to data structures and distributed computing.  This is an exciting research area with several cool breakthroughs.   The PI has suggested promising avenues for furthering_x000D_
the research, and has contributed several results in these directions._x000D_
_x000D_
The PI also proposes  a study of compressed sensing with asymmetric _x000D_
information for modeling communication in the internet-of-things, though these directions could be more fleshed out in the proposal._x000D_
_x000D_
PI is a promising young researcher._x000D_
_x000D_
In the context of the five review elements, please _x000D_
evaluate the strengths and weaknesses of the proposal with respect to broader impacts._x000D_
_x000D_
The PI will participate in Columbia programs to encourage STEM in K-12.  The PI is developing a new course on Information Theory in TCS, which is a very good contribution to the field._x000D_
_x000D_
Please evaluate the strengths and _x000D_
weaknesses of the proposal with respect to any additional solicitation-specific review criteria, if _x000D_
applicable_x000D_
_x000D_
_x000D_
_x000D_
Summary Statement_x000D_
_x000D_
+ Exciting area with good directions_x000D_
+ PI has good track record_x000D_
+ good broader impacts_x000D_
_x000D_
_x000D_
_x000D_
</t>
  </si>
  <si>
    <t>AS1006560</t>
  </si>
  <si>
    <t>Zuckerman</t>
  </si>
  <si>
    <t>anup.rao@gmail.com</t>
  </si>
  <si>
    <t xml:space="preserve">In the context of the five review elements, please _x000D_
evaluate the strengths and weaknesses of the proposal with respect to intellectual merit._x000D_
_x000D_
The PI proposes a strong research program of proving lower bounds for data structures in the prominent cell probe model. The PI suggest proving important lower bounds, such as a super constant lower bound on the number of queries required for an explicit static problem using space n^1.01.   The PI has a good track record, having proved lower bounds for the membership problem in the static case when the space is only a small additive amount above the information theoretic minimum, and a query lower bound of roughly log^{1.5} n in the dynamic case for 2D weighted range counting._x000D_
_x000D_
There are also interesting connections with locally decodable codes._x000D_
_x000D_
A weakness is that given the state of the art, breaking the barriers that the PI identifies seems very difficult, so it's not clear a breakthrough is imminent._x000D_
_x000D_
_x000D_
In the context of the five review elements, please _x000D_
evaluate the strengths and weaknesses of the proposal with respect to broader impacts._x000D_
_x000D_
The PI wants to bridge the gap between Electrical Engineering and Computer Science, do educational outreach to underrepresented groups, and have impact in industry._x000D_
_x000D_
Please evaluate the strengths and _x000D_
weaknesses of the proposal with respect to any additional solicitation-specific review criteria, if _x000D_
applicable_x000D_
_x000D_
_x000D_
_x000D_
Summary Statement_x000D_
_x000D_
This is a very good proposal about using information theoretic methods to prove lower bounds._x000D_
_x000D_
</t>
  </si>
  <si>
    <t>1750032</t>
  </si>
  <si>
    <t>Thaler</t>
  </si>
  <si>
    <t xml:space="preserve"> Panel Summary       
 Description: _x000D_
The main goal is to understand the approximate degree and threshold degree of Boolean functions.  The approximate degree is the minimum degree of a real-valued polynomial that is always within 1/3 of the Boolean function on inputs over {0,1}.  This has many applications and is a fundamental measure.  The PI proposes to improve lower bounds on AC0 functions, among other problems.  The PI also proposes work on Verifiable Computing, which amounts to making interactive proofs zero-knowledge and succinct in practical settings.  _x000D_
_x000D_
Intellectual Merit:_x000D_
Strengths_x000D_
  + The PI had a strong FOCS 2017 paper giving an n^{1-a} lower bound on approximate degree for an AC0 function, for any a&gt;0._x000D_
  + Approximate and threshold degree are fundamental and have applications to various lower bounds._x000D_
  + The PI improved previous runtime of prover in Verifiable Computing._x000D_
  + Well written and creative, with ideas to solve the different problems._x000D_
_x000D_
Weaknesses_x000D_
  - Track record somewhat below top-ranked proposals, though still very good._x000D_
_x000D_
Broader Impact:_x000D_
Strengths_x000D_
  + VC software developed by the PI could have significant influence; his previous implementations have been used by multiple security groups._x000D_
  + Has spoken at summer schools, given tutorials, mentored students with disabilities, and plans to continue._x000D_
_x000D_
Weaknesses_x000D_
_x000D_
Suggestions to PI: _x000D_
Keep up the good work. With a longer track record, this could fare even better against the extremely stiff competition._x000D_
_x000D_
Justification for Panel Rating:  This was a strong proposal, earning a "competitive" ranking against stiff competition.  The somewhat lower track record prevented an even higher ranking._x000D_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</si>
  <si>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is about understanding several somewhat related research directions in understanding the complexity of  boolean functions. The first set of questions concerns the degree of representations of boolean functions as polynomials. These are very basic questions related to both mathematics and computer science, and there is a lot of work to be done to improve our understanding of them. The approximate degree has played a crucial role in some lower bounds for other models, most notably in proving lower bounds on the randomized communication complexity of disjointness in the number-on-forehead model._x000D_
_x000D_
Another direction the PI proposes has to do with efficiently verifiable computation. This is an area with many interesting theoretical questions, and the PI has an established record of proving strong results._x000D_
_x000D_
_x000D_
In the context of the five review elements, please _x000D_
evaluate the strengths and weaknesses of the proposal with respect to broader impacts._x000D_
_x000D_
The PI has already made several important contributions in terms of code, and exposition. He has delivered lectures to a wide audience and seems well placed to continue this good work._x000D_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</si>
  <si>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This proposal will study the methodology of use of polynomials to understand complexity theoretic aspects of functions, referred to as "the polynomial method".  The PI plans to apply this method to a broader class of functions, building on previous work.  The PI gives a number of directions with reason to believe that he will make progress.  This work may impact quantum algorithms, circuit complexity and learning theory._x000D_
_x000D_
The second part of the proposal will work on verifiable computing, focusing on interactive proofs that are zero-knowledge and succinct._x000D_
_x000D_
In prior work, the PI has done creative work and has suggested very nice directions._x000D_
_x000D_
In the context of the five review elements, please _x000D_
evaluate the strengths and weaknesses of the proposal with respect to broader impacts._x000D_
_x000D_
The PI is a creator and current contributor of an open source library that is widely used in government/industry._x000D_
_x000D_
The PI has spoken at summer schools, given tutorials and is mentoring students with disabilities._x000D_
_x000D_
The PI is designing a course on streaming, and another on probabilistic proof systems._x000D_
_x000D_
Please evaluate the strengths and _x000D_
weaknesses of the proposal with respect to any additional solicitation-specific review criteria, if _x000D_
applicable_x000D_
_x000D_
_x000D_
_x000D_
Summary Statement_x000D_
_x000D_
+ the research direction is compelling_x000D_
+ the PI has a strong track record_x000D_
+ the broader impacts are impressive_x000D_
_x000D_
</t>
  </si>
  <si>
    <t>HQ0947191</t>
  </si>
  <si>
    <t>Saha</t>
  </si>
  <si>
    <t>barna@cs.umass.edu</t>
  </si>
  <si>
    <t xml:space="preserve">In the context of the five review elements, please _x000D_
evaluate the strengths and weaknesses of the proposal with respect to intellectual merit._x000D_
_x000D_
The proposal proposes to make progress on our understanding of polynomial method which has been extremely influential in theoretical computer science. _x000D_
_x000D_
The first part of the proposal concentrates on approximate degree and threshold degree of functions, use of dual polynomials to establish lower bounds and connection to quantum query complexity. The proposal also identifies various learning algorithms where the method could be useful. The PI also considers communication analog of approximate degree, the UPP communication model, and several important new directions there._x000D_
_x000D_
In the second part, the PI proposes an ambitious project of developing practical verifiable computing protocols, by developing more efficient IP protocols that also have additional nice properties._x000D_
_x000D_
Summary of strength and weakness: The proposal is well-written with clear direction given to solve each problem._x000D_
_x000D_
In the context of the five review elements, please _x000D_
evaluate the strengths and weaknesses of the proposal with respect to broader impacts._x000D_
_x000D_
Broader impact is adequate and PI has an impressive track record in that direction such as developing software._x000D_
_x000D_
Please evaluate the strengths and _x000D_
weaknesses of the proposal with respect to any additional solicitation-specific review criteria, if _x000D_
applicable_x000D_
_x000D_
_x000D_
_x000D_
Summary Statement_x000D_
_x000D_
Overall, I think the questions posed in the proposal are very important and the PI has provided a nice plan on how they can be solved._x000D_
_x000D_
</t>
  </si>
  <si>
    <t xml:space="preserve">In the context of the five review elements, please _x000D_
evaluate the strengths and weaknesses of the proposal with respect to intellectual merit._x000D_
_x000D_
The PI proposes questions about understanding the minimum degree of a polynomial that approximates certain functions, or the even smaller threshold degree.  The PI had a very nice result in FOCS 2017 using dual polynomials to show that there's a function in AC0 with approximate degree at least n^{1-a} for any a&gt;0. He would like to give a linear lower bound for a function in AC0. The PI also wants to apply approximate degree in the study of learning algorithms._x000D_
_x000D_
In addition, the PI proposes to study the UPP model of communication complexity, where the players only have to be correct with probability greater than 1/2.  This is equivalent to the study of sign rank of matrices.   _x000D_
_x000D_
Finally, the PI proposes work on Verifiable Computing: to make interactive proofs zero-knowledge and succinct in practical settings. Whereas the original interactive proofs in the IP=PSPACE required the prover to spend superpolynomial time even for simple problems, the PI has improved later work by others to achieve prover runtime O(s log s) if the problem is solvable by an arithmetic circuit of size s.  This work could be impactful._x000D_
_x000D_
These are all interesting questions. The PI's track record is fairly good, especially recently with two FOCS 2017 papers. The main weakness is that those are his only STOC/FOCS publications, though he has published in other good venues._x000D_
_x000D_
In the context of the five review elements, please _x000D_
evaluate the strengths and weaknesses of the proposal with respect to broader impacts._x000D_
_x000D_
VC software developed by the PI could have significant influence; his previous implementations have been used by multiple security groups._x000D_
_x000D_
Please evaluate the strengths and _x000D_
weaknesses of the proposal with respect to any additional solicitation-specific review criteria, if _x000D_
applicable_x000D_
_x000D_
_x000D_
_x000D_
Summary Statement_x000D_
_x000D_
Nice proposal about understanding function representations by polynomials over the reals. The work on verifiable computing could have practical impact. The PI has a good track record, though maybe slightly below several other PIs._x000D_
_x000D_
</t>
  </si>
  <si>
    <t>Algebraic structure in the form of approximation or exact computation by low-degree polynomials arises frequently in computer science. The study of such structure is called the polynomial method, and it has led to many celebrated results in theoretical computer science over the last 50 years. Still, serious gaps remain in our understanding of its power. This project seeks to improve our understanding of known formulations of the polynomial method, and to develop new formulations to solve major open problems.The first part of this proposal focuses on two basic formulations of the polynomial method, called approximate degree and threshold degree, that have many applications. As one example, quantum computers have the potential to be vastly more efficient (for some problems) than today's classical computers, and approximate degree is one of the most promising tools available for understanding their power, because the approximate degree of a function is a lower bound on its quantum query complexity._x000D_
     Despite their applications, approximate and threshold degree are poorly understood. To address this, the PI has spent several years developing a relatively new technique for proving approximate degree lower bounds, called the method of dual polynomials. Until this past year, the method had been applied only to very special functions, yet recent work of the PI has, for the first time, applied the method to broad classes of functions. As a result, it is now poised to resolve the approximate and threshold degrees of many basic functions. A key goal of the proposed research is to accomplish this. Via established applications, this will profoundly impact the fields of quantum algorithms (where it is likely to imply the optimality of a variety of quantum algorithms), circuit complexity (where it will resolve the complexity of shallow circuits under basic complexity measures), and learning theory (where it will characterize the power of important objects including halfspace learners and deep nets)._x000D_
     While approximate and threshold degree are powerful notions, this proposal also identifies several major open problems in theoretical computer science that they cannot address, and puts forth new polynomial-based notions of structure with the goal of solving these problems._x000D_
_x000D_
The proposal's second part focuses on verifiable computing (VC). VC refers to cryptographic protocols enabling an untrusted prover to provide a guarantee to a verifier that the prover performed a computation correctly. Efficient VC systems would enable a wide variety of applications. For example, entities that offload data processing to the cloud could obtain guarantees that the cloud is operating correctly._x000D_
     Seminal theoretical results showed that VC protocols can solve much more challenging problems than can traditional (NP) proofs, and the last six years have seen major progress in building VC systems verging on practicality. The PI played a founding role in these efforts, producing the first implementation of a general-purpose VC system (concurrently with one other work), and he continues to play a leading role in the area. The PI's current work targets a specific approach to VC systems, namely interactive proofs (IPs), because IPs generally have lower costs than competing approaches. But IPs lack two key properties, called zero-knowledge and succinctness, and this has limited their applicability. The goal of the proposed research is to overcome the limitations of IPs without sacrificing their advantages. This will yield general-purpose non-interactive zero-knowledge proofs (NIZKs) that are more efficient and apply to a wider variety of applications than current constructions. NIZKs are VC protocols that also protect privacy, and they have many applications in cryptography, such as to emerging blockchain technologies.The proposed research will produce useful software, including a general-purpose toolchain producing efficient NIZKs. The PI has a record of impact via such software dissemination. For example, the PI is a co-creator of an open source library of streaming algorithms that is used widely in industry and government, and his IP implementations have been incorporated into systems built by multiple security research groups. The PI will continue to disseminate research to a broad range of communities via tutorials, summer schools, and written surveys. A major goal of this outreach will be maximizing understanding among researchers and practitioners of the capabilities of the resulting implementations.</t>
  </si>
  <si>
    <t>1750075</t>
  </si>
  <si>
    <t>Razaviyayn</t>
  </si>
  <si>
    <t>18</t>
  </si>
  <si>
    <t xml:space="preserve"> Panel Summary       
 Description: The main objective of this project is to fundamentally improve our understanding of optimization problems that arise in the context of mixture model inference and develop large-scale optimization procedures with theoretical performance guarantees for solving them. There are four high-level research tasks: (i) looking at the maximum-likelihood estimation (MLE) problem for Gaussian mixture models and studying how to avoid local optima when using the expectation-maximization (EM) algorithm; (ii) looking at MLE algorithms and more general optimization techniques and showing their convergence to local optima; (iii) creating better algorithms for the transcriptome sequencing problem in computational biology; and (iv) improving out-of-sample performance by using an approximate estimator for cross-validation instead of computing the exact cross-validation function._x000D_
_x000D_
Intellectual Merit:_x000D_
_x000D_
Strengths_x000D_
  + The PI has preliminary work in the area of the proposal (especially for the second task)._x000D_
  + The proposal is well organized and the PI has identified a number of interesting questions that are non-overlapping but are addressable in parallel._x000D_
_x000D_
Weaknesses_x000D_
  - Much of the proposed research (especially Tasks 1, 3, and 4) consists of making changes to existing techniques and then using numerical experiments to understand their behavior. It was not obvious how this proposal could result in novel theoretical results and contributions._x000D_
  - It was unclear how much the proposed mixture models deviate from just assuming that the underlying data can be nicely clustered; especially for task 3, the PI seems to directly assume clustering of the underlying data._x000D_
  - Some panelists noted that the proposed research plan might not be ambitious enough for a CAREER proposal; either a stronger theoretical component or a more solid evaluation component should be included in the proposal. _x000D_
  - Some panelists noted that the proposed application to computational biology is a weakness, since this part of the research plan was poorly developed and the PI has no prior work in this domain._x000D_
_x000D_
Broader Impact:_x000D_
_x000D_
Strengths_x000D_
  + The proposed educational plan was above average, including outreach to high schools. The PI seems to already have performed such outreach activities._x000D_
  + The PI has secured a collaboration letter from an industrial partner for his work on analyzing transcriptome data._x000D_
_x000D_
Weaknesses_x000D_
  - Some panelists noted that even if successful, this proposal will have limited impact in the machine learning and data mining communities._x000D_
_x000D_
Solicitation-specific criteria: The panel concurred that the integration of research and education was adequate._x000D_
_x000D_
Data Management Plan: _x000D_
_x000D_
The data management plan was deemed adequate by the panel._x000D_
_x000D_
Suggestions to PI: The panelists suggested that the PI should consider explaining in more detail the novelty of the proposed work as well as possible approaches and new theoretical insights that may emerge. The discussion of the broader impact of the proposed work in machine learning and data mining should also be improved._x000D_
_x000D_
Justification for Panel Rating: A well-written proposal with above average broader impact, at least from an educational perspective. However, there were many concerns regarding the intellectual merit (especially in terms of novel theoretical contributions) of the proposed work._x000D_
_x000D_
Panel Rating:_x000D_
_ Highly Competitive_x000D_
_ Competitive_x000D_
_ Low Competitive_x000D_
X Not Competitive_x000D_
_x000D_
The summary was read by/to the panel and the panel concurred that the summary accurately reflects the panel discussion. 
</t>
  </si>
  <si>
    <t>MBASU</t>
  </si>
  <si>
    <t>P180211</t>
  </si>
  <si>
    <t xml:space="preserve"> Comp Bio Career Virtual Panel</t>
  </si>
  <si>
    <t xml:space="preserve"> Panel Summary       
 CAREER Panel Summary _x000D_
_x000D_
Objective of the proposed work:_x000D_
_x000D_
This CAREER proposal aims to make contributions to both theory and application of algorithms for mixture models, which are popular tools for describing observations of heterogeneous populations with subpopulation structures. The specific tasks include theoretical exploration of the likelihood landscape of mixture models, design of scalable algorithms for optimization, and applications to sequencing data in computational biology. _x000D_
_x000D_
_x000D_
Overview of reviews:_x000D_
_x000D_
This proposal was reviewed by 4 reviewers in the panel. One reviewer rated the proposal 'Very Good', while the other 3 reviewers were less enthusiastic. The main concern identified by most reviewers was the lack of connection between the first two aims and the last two aims. For example, the proposal does not demonstrate how the activities or results in Aims 1 and 2 relate to or guide those in the latter aims. The simulations in aim 1 show the landscape with respect to the means, while the goal of aim 3 is to estimate the mixture probabilities. Without a strong running thread connecting the aims, it is difficult to appreciate the proposal as a coherent story, rather than loose components put together. Another concern was that the PI does not have track record in computational biology, but the panel did recognize that the PI has a strong background in optimization. _x000D_
_x000D_
_x000D_
_x000D_
Panel Discussion:_x000D_
Intellectual Merit: _x000D_
_x000D_
STRENGTHS:_x000D_
_x000D_
The proposed work will address mixture model inference problems that present significant challenges due to their combinatorial and non-convex nature._x000D_
_x000D_
The PI has a strong record of publication at the interface of optimization and machine learning._x000D_
_x000D_
The application to long read sequencing data is both interesting and challenging. Established collaboration and supporting letter from researchers in PacBio._x000D_
_x000D_
WEAKNESSES:_x000D_
_x000D_
The preliminaries in aim 1 do not show enough information and intuition with respect to how the analysis can be extended to larger K. _x000D_
_x000D_
There is lack of connection between the first two aims and the last two aims, both technicially and conceptually. _x000D_
_x000D_
Except for aim 3, the other aims lack specifics in terms of application, datasets or simulation setting, etc. More specifics can strengthen those aims. _x000D_
_x000D_
Lack of published track record in computational biology._x000D_
_x000D_
Lack of convincing evaluation plan. _x000D_
_x000D_
_x000D_
	_x000D_
Broader Impacts:_x000D_
STRENGTHS:_x000D_
_x000D_
The proposed research and education plans are well integrated. _x000D_
_x000D_
The high-school outreach plan is comprehensive._x000D_
_x000D_
Efficient use of the existing outreach programs offered by the PI's institution. _x000D_
_x000D_
_x000D_
WEAKNESSES:_x000D_
_x000D_
No significant weaknesses identified. _x000D_
_x000D_
_x000D_
_x000D_
CAREER RESPONSIVENESS: _x000D_
- This proposal aims to address important and challenging problems with combinatorial and non-convex nature, and can lead to a career long contributions to research, education and their integrations. _x000D_
- Strong letter from the department chair, including departmental support, alignment of teaching duties and research, as well as mentoring by senior colleagues._x000D_
_x000D_
_x000D_
_x000D_
Panel Recommendation:_x000D_
_x000D_
Low Competitive_x000D_
_x000D_
The panel recommendation was "Low Competitive". The enthusiasm of the panel was dampened by the lack of coherence and coordination among the proposed aims, as well as lack of specific connections between theoretical aims and applications, datasets, or simulations. _x000D_
_x000D_
_x000D_
This summary was read by/to the panel, and the panel concurred that the summary accurately reflects the panel discussion._x000D_
</t>
  </si>
  <si>
    <t>ZT0899648</t>
  </si>
  <si>
    <t>Anshelevich</t>
  </si>
  <si>
    <t>eanshel@cs.rpi.edu</t>
  </si>
  <si>
    <t xml:space="preserve">In the context of the five review elements, please _x000D_
evaluate the strengths and weaknesses of the proposal with respect to intellectual merit._x000D_
_x000D_
This is a proposal focused on optimization and numerical methods, mostly for problems related to mixture models. There are four high-level research tasks: (1) Looking at the MLE problem for Gaussian mixture models, and studying how to avoid local optima when using the EM algorithm. The PI has preliminary work; it is for small K (the number of Gaussians being mixed) saying that either there are no local optima at all, or it is possible to avoid them with appropriate initialization. (2) Looking at MLE algorithms and more general optimization techniques, and showing their convergence to local optima (3) Creating better algorithms for the transcriptome sequencing problem in computational biology (4) Improving out-of-sample performance by using an approximate estimator for cross-validation instead of computing the exact cross-validation function._x000D_
_x000D_
_x000D_
Strengths:_x000D_
_x000D_
+ For Task 2, the PI has lots of preliminary work on showing when various optimization methods converge, and is likely to make a nice impact._x000D_
_x000D_
+ The applications to computational biology are nice and concrete; it seems likely that this project would result in some well-performing new tools for these problems._x000D_
_x000D_
_x000D_
Weaknesses:_x000D_
_x000D_
- For Task 1, it is really not clear how much insight the proposed work will yield about EM in Gaussian Mixture models. The preliminary work consists essentially of observations about very simple special cases, and it is not clear how these would be generalized (the PI does not really talk about this). The main conjectures are also only for very special cases, and the PI does not really say how they will be proved, except by saying that they seem to hold in numerical experiments._x000D_
_x000D_
- For Task 2, which is the task for which the PI seems especially qualified, very little details are given, or indication how to proceed, or even definitions of the algorithms the PI is analyzing and the issues involved. While this seems like the most promising direction, it is very difficult to tell its importance and feasibility without more detail._x000D_
_x000D_
- For Task 3, it seems that this is not even a mixture model: instead each sample comes from one specific transcript instead of being a combination of them. This is why clustering works. Why is using a mixture model a good idea here? There needs to be a better comparison with existing work, especially since the proposed technique seems to be essentially clustering based on prefixes._x000D_
_x000D_
- Much of the proposed research (especially Tasks 1, 3, and 4) consists of making new (although possibly important) changes to existing techniques, and then using numerical experiments to understand their behavior. It does not seem like this proposal is planning to spend much time in proving theorems about algorithm behavior, or getting further insight into this behavior. Certainly the PI does not talk about how they would do this._x000D_
_x000D_
_x000D_
Suggestions for Improvements: I would suggest focusing on one or two tasks, and really explaining the novelty of the proposed work, the ideas in preliminary work, the possible approaches and comparing with what has been tried, and the new theoretical insights that may result. The other tasks could also be mentioned, but only as an extra possible direction._x000D_
_x000D_
_x000D_
In the context of the five review elements, please _x000D_
evaluate the strengths and weaknesses of the proposal with respect to broader impacts._x000D_
_x000D_
Strengths:_x000D_
_x000D_
+ Course development, mentoring grad students and undergrads (PI has a history of mentoring undergrads)_x000D_
_x000D_
+ High-school outreach (the PI already does this)_x000D_
_x000D_
+ Collaboration with industry in bioinformatics (has collaboration letter)_x000D_
_x000D_
Please evaluate the strengths and _x000D_
weaknesses of the proposal with respect to any additional solicitation-specific review criteria, if _x000D_
applicable_x000D_
_x000D_
_x000D_
_x000D_
Summary Statement_x000D_
_x000D_
A proposal in an important area with nice applications, but not enough details about the proposed research are given, or what new theoretical insights would be likely._x000D_
_x000D_
_x000D_
</t>
  </si>
  <si>
    <t xml:space="preserve">In the context of the five review elements, please _x000D_
evaluate the strengths and weaknesses of the proposal with respect to intellectual merit._x000D_
_x000D_
The main objective of this project is to fundamentally improve our understanding of optimization problems that arise in the context of for mixture model inference and develop large-scale optimization procedures with theoretical performance guarantees for solving them. The PI claims that the proposed tools and algorithms will be more broadly applicable and will cover other non-convex problems._x000D_
_x000D_
The PI is building upon recent work that has shown that many nonconvex optimization problems that arise in machine learning can actually lead to efficient algorithms, contrary to the common view that non-convexity is akin to intractability. Within this domain, the PI seeks to work on optimization problems that arise in finite mixture distributions that are a common statistical model in many scientific disciplines. I am not convinced that the overall proposal is sufficiently ambitious and visionary; the proposal consists of a number of specific tasks that will result in a number of papers but, in total, do not seem to rise to a sufficiently broad CAREER plan. The evaluation plan of the proposed tasks in real data is rather weak and the computational biology tasks that the PI seeks to tackle necessitate background and outreach in computational biology that the PI seems to be lacking (there is one support letter towards that end, but the PI does not seem to have significantly published in biology venues in the past)._x000D_
_x000D_
In the context of the five review elements, please _x000D_
evaluate the strengths and weaknesses of the proposal with respect to broader impacts._x000D_
_x000D_
The broader impact of this proposal is above average, at least from an educational perspective. The PI has a well thought-out plan for outreach to high schools and has already established the necessary connections._x000D_
_x000D_
Please evaluate the strengths and _x000D_
weaknesses of the proposal with respect to any additional solicitation-specific review criteria, if _x000D_
applicable_x000D_
_x000D_
See above discussion._x000D_
_x000D_
Summary Statement_x000D_
_x000D_
An OK proposal from an intellectual merit perspective. An above average proposal with respect to broader impacts in education._x000D_
_x000D_
</t>
  </si>
  <si>
    <t>SH0824834</t>
  </si>
  <si>
    <t>Heber</t>
  </si>
  <si>
    <t>sheber@ncsu.edu</t>
  </si>
  <si>
    <t xml:space="preserve">In the context of the five review elements, please _x000D_
evaluate the strengths and weaknesses of the proposal with respect to intellectual merit._x000D_
_x000D_
The PI's research goals target investigation and algorithm design for large scale mixture model inference target function landscapes, a novel approach to improve out-of-sample performance, and the development of long-read transcriptome sequencing algorithms._x000D_
+ The proposed research aims are creative and original._x000D_
- Except for research task 3 (Pacific Bioscience long read sequence analysis) and a brief section in task 4 no specific application areas, data sets, or collaborations are described. In my opinion, the chance of success of the proposed research could be improved by focusing on specific problems and seeking corresponding collaborations with application scientists. _x000D_
- Evaluation metrics are missing._x000D_
- The research aims are not well-coordinated. It appears that aims 1 and 2 build on each other, while aims 3 and 4 are independent. The proposal states that the proposed aims are parallel tasks. However, working in parallel on four research tasks is quite challenging. The proposal could be improved by a detailed timeline. _x000D_
+ the planned collaboration with Pacific Biosciences is promising; the project could be further strengthened if an additional collaboration with an application scientist in this space is sought._x000D_
+ the PI has a good publication record and has access to sufficient resources for the proposed work._x000D_
+ Data Management Plan and Departmental Support Letter are appropriate._x000D_
_x000D_
In the context of the five review elements, please _x000D_
evaluate the strengths and weaknesses of the proposal with respect to broader impacts._x000D_
_x000D_
The education and outreach thrust includes course development, graduate and undergraduate student mentoring, organization of student reading groups, and outreach to high school students and teachers via the Neighborhood Academic Initiative (NAI) and the Viterbi Adopt-a-School Adopt-a-Teacher (VAST) program. The VAST program focuses on PreK-12 students and teachers, while the NAI program targets under-privileged and immigrant students. The PI plans to integrate his research into these activities._x000D_
_x000D_
Please evaluate the strengths and _x000D_
weaknesses of the proposal with respect to any additional solicitation-specific review criteria, if _x000D_
applicable_x000D_
_x000D_
_x000D_
_x000D_
Summary Statement_x000D_
_x000D_
The proposal lists interesting research goals. However, the proposed tasks are not sufficiently developed and coordinated. In particular, specific areas of application should be identified, and evaluation metrics should be identified. It would also be useful to expand the description of a long-term career plan around the proposed activities. The education and outreach activities are appropriate._x000D_
_x000D_
</t>
  </si>
  <si>
    <t>SK0956952</t>
  </si>
  <si>
    <t>Honavar</t>
  </si>
  <si>
    <t>vhonavar@ist.psu.edu</t>
  </si>
  <si>
    <t xml:space="preserve">In the context of the five review elements, please _x000D_
evaluate the strengths and weaknesses of the proposal with respect to intellectual merit._x000D_
_x000D_
This CAREER proposal aims to advance the theory and practice of algorithms for mixture model inference problems which present significant challenges due to their combinatorial and non-convex nature to develop scalable algorithms with strong theoretical performance guarantees. The resulting algorithms will be applied to problems in machine learning (e.g., optimizing out-of-sample predictive performance and in computational biology (e.g., long-read transcriptome sequencing). Anticipated results include new theoretical understanding of combinatorial and non-convex optimization problems arising in mixture model inference, and practical mixture model inference algorithms for large-scale machine learning and computational biology applications._x000D_
_x000D_
Strengths:_x000D_
Improved understanding of non-convex optimization problems that arise in mixture model inference can have significant impact on the theory and practice of machine learning, as well as a wide range of applications of mixture models, including computational biology. _x000D_
_x000D_
The PI has a strong record of publication at the interface of optimization and machine learning. _x000D_
_x000D_
The proposed research is well-conceived, well-organized, well-motivated, and built on a solid foundation of related work by the PI._x000D_
_x000D_
The approach to generalizing the analysis by relaxing the Gaussian assumption and the observation that the local optima are informative when the number of components in the mixture model exceeds 3 are both insightful and likely to lead to breakthroughs in our understanding of mixture models. _x000D_
_x000D_
Mixture model inference algorithms where in the number of mixture components defined_x000D_
on finite alphabets is large are ubiquitous in computational biology applications such as de_x000D_
novo long-read transcriptome sequencing._x000D_
_x000D_
_x000D_
Any advances in establishing the convergence of successive convex approximations (SCA) method and that of the alternating direction method of multipliers (ADMM) to local optima in the presence of saddle points are important from the standpoint of practical algorithms for large-scale non-convex optimization problems that arise in machine learning and other applications. _x000D_
_x000D_
The proposed approach to computational procedures for direct optimization of out-of-sample performance in statistical learning  (as opposed to the common practice of learning statistical models over a training set; and then adjusting regularizers using cross-validation) offers a fundamentally different and novel approach that if successful, could lead to a paradigm shift in machine learning._x000D_
_x000D_
Weaknesses_x000D_
_x000D_
The only potential  weakness has to do with the lack of detail in some of the theoretical aspects of the proposed work, which is not atypical of theoretical proposals._x000D_
_x000D_
In the context of the five review elements, please _x000D_
evaluate the strengths and weaknesses of the proposal with respect to broader impacts._x000D_
_x000D_
Strengths: _x000D_
_x000D_
The results of the proposed work would directly impact machine learning (using mixture models)  and computational biology (especially transcriptome sequencing), and indirectly benefit non-convex optimization. _x000D_
_x000D_
Broad dissemination of scalable open-source implementations of the  resulting non-convex optimization algorithms would benefit the broader machine learning, optimization, and computational biology communities. _x000D_
_x000D_
The plans for integrating research on non-convex optimization into education and training of students is well-conceived. _x000D_
_x000D_
The PI is especially well-positioned to develop a course on large-scale optimization for data science. Such a course is likely to be well-received by the emerging graduate and undergraduate programs in the Data Sciences. _x000D_
_x000D_
The project will benefit the research-based training of graduate and undergraduate students in an increasingly important area at the interface of optimization and data science._x000D_
_x000D_
The plans for outreach to high school students through USC Neighborhood Academic Initiative (NAI) and Viterbi Adopt-a-School Adopt-a-Teacher (VAST) programs to develop and distribute lesson plans to high school students and teachers are well-conceived._x000D_
_x000D_
The PI's engagement with NAI, along with his past track-record of success in broadening the participation of members of under-represented groups in research  careers in STEM disciplines, bode well for the success of similar efforts by the PI._x000D_
_x000D_
_x000D_
Please evaluate the strengths and _x000D_
weaknesses of the proposal with respect to any additional solicitation-specific review criteria, if _x000D_
applicable_x000D_
_x000D_
This CAREER proposal has all of the key elements of needed to lay the  foundation for a lifetime of contributions to research, education and their integration: Strong preparation for a successful research career in the chosen field; a strong track record of research and publication at the interface of non-convex optimization and machine learning; a well-motivated, well-articulated, innovative and compelling research plan built on a strong foundation of prior work, and with a high likelihood of impact within and beyond the discipline (benefited in part by careful focus on compelling applications in machine learning and computational biology), and credible plans for integrating research and education, including engagement of graduate and undergraduate students in research, and broadening the participation of underrepresented groups in STEM disciplines._x000D_
_x000D_
Summary Statement_x000D_
_x000D_
This is a very strong CAREER proposal, with compelling intellectual merits and a high likelihood of impact within and beyond the discipline (at the interface of optimization and data science). In the opinion of this reviewer, this proposal should have high priority for support._x000D_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</si>
  <si>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interesting questions related to inference and optimization under various mixture models.  The proposal itself is extremely well organized and clear -- doing an exemplary job of showing how the problems that are targeted have clear impact not only on their own domain but across domains.  The research is ambitious but also extremely focused and clear._x000D_
_x000D_
2. To what extent do the proposed activities suggest and explore creative, original, or potentially transformative concepts?_x000D_
_x000D_
The questions that are intended to be addressed are interesting and have the potential to be transformative in a number of application areas including computational biology and gene sequencing.  As the target is general optimization models there are a number of opportunities for impact.  I would have liked to see a bit more discussion of how these results could be applied in other areas or how much generalization could be extracted from the questions that are posed._x000D_
_x000D_
3. Is the plan for carrying out the proposed activities well-reasoned, well-organized, and based on a sound rationale? Does the plan incorporate a mechanism to assess success?_x000D_
_x000D_
The plan is very well organized and the PI has identified a number of interesting questions that are non-overlapping but are addressable in parallel.  This structure makes sure that the PI will not get "stuck" but at the same time several of these streams have interesting applications.  Methods of success include releasing code and publications._x000D_
_x000D_
4. How well qualified is the individual, team, or institution to conduct the proposed activities?_x000D_
_x000D_
The PI has a track record of releasing software (a proposed broader impact) and the research questions are clearly in line with the PIs past expertise._x000D_
_x000D_
5. Are there adequate resources available to the PI (either at the home institution or through collaborations) to carry out the proposed activities?_x000D_
_x000D_
Has the support of his home institution as well as support for the applications in biology through outreach to local companies._x000D_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Overall broader impacts are good -- includes resources for outreach within the local community and under-served populations -- not clear how these activities exactly intersect with the content of the proposal but that is not a major issue.  The research broader impacts are well covered by the outreach with local companies and there is a clear path to impact there._x000D_
_x000D_
2. To what extent do the proposed activities suggest and explore creative, original, or potentially transformative concepts?_x000D_
_x000D_
Outreach to local companies and the targeted nature of the proposal means that there is a high likelihood for broader impact w.r.t. the proposed research directions _x000D_
_x000D_
The course proposed by the PI is interesting and unique._x000D_
_x000D_
3. Is the plan for carrying out the proposed activities well-reasoned, well-organized, and based on a sound rationale? Does the plan incorporate a mechanism to assess success?_x000D_
_x000D_
The plan is well reasoned.  While there is not a clear metric for success the programs that the PI is supporting have a track record of success._x000D_
_x000D_
4. How well qualified is the individual, team, or institution to conduct the proposed activities?_x000D_
_x000D_
In terms of working with industry the PI has a successful track record which will help ensure the success of the proposed broader impacts. However, the PI has some experience in working with high school students but none with high-school teachers so hopefully there are resources through the identified programs to ensure success there._x000D_
_x000D_
5. Are there adequate resources available to the PI (either at the home institution or through collaborations) to carry out the proposed activities?_x000D_
_x000D_
The PI has been in contact with a good number of local companies and outreach organizations to help deliver the proposed impacts.  Funds are allocated to work with teachers and towards broader impacts which is good._x000D_
_x000D_
_x000D_
Please evaluate the strengths and _x000D_
weaknesses of the proposal with respect to any additional solicitation-specific review criteria, if _x000D_
applicable_x000D_
_x000D_
_x000D_
_x000D_
Summary Statement_x000D_
_x000D_
An interesting and strong proposal which will focus on advancing the state of the art in probabilistic mixture models and their applications to computational biology.  An interesting and diverse set of questions is very well specified and opportunities to translate research to impact through coordination with local companies and teaching outreach in local communities is identified._x000D_
_x000D_
_x000D_
</t>
  </si>
  <si>
    <t>JP0857163</t>
  </si>
  <si>
    <t>Qin</t>
  </si>
  <si>
    <t>zhaohui.qin@emory.edu</t>
  </si>
  <si>
    <t xml:space="preserve">In the context of the five review elements, please _x000D_
evaluate the strengths and weaknesses of the proposal with respect to intellectual merit._x000D_
_x000D_
In this research project,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I doubt the impact would be significant. Despite the fact that Finite Mixture Model is useful in many applications, it is not suitable for the big data scenario the PI wanted to apply it to. Essentially, Finite Mixture Model is ideal for small number of clusters case and when the number of clusters is easy to be decided on. For more complex scenario, infinite mixture model is much more flexible (no need to know the number of clusters a priori) and have been widely adopted and preferred over Finite Mixture Model. I do not understand why the PI never acknowledge this. This reviewer does not believe it is worth considering to apply Finite Mixture Model to any complex real data case unless there is compelling reason to believe what the true "K" should be which is extremely rare. In complex real data scenarios, the number of clusters is often being considered as a "nuisance" parameter. It is not important scientifically and only needed as a required parameter in the statistical model. But in Finite Mixture Model, special effort has to be made to decide on that which is not appealing._x000D_
_x000D_
The PI emphasizes the application on computational biology. But to my disappointment, the computational biology component is very small and weak. Only one application is described and the problem is very specific, even if successful (which I doubt), the impact would be extremely limited.   _x000D_
_x000D_
The computational biology problem is described as "de novo transcriptome sequencing" which seems a misnomer. I think the PI meant "de novo transcriptome assembly" or "de novo transcriptome quantification". There is no evidence to suggest the PI has never conducted any research in computational biology before, and it seems that the PI has limited knowledge in this topic. The problem that the PI is trying to solve is much more complicated than what is described in the proposal. To frame the problem as a 'clustering" problem is over-simplified. The reference cited "[25]" never mentioned "ICE" approach. And I have no idea what it is referring to. _x000D_
_x000D_
The PI has solid training and seems well versed in the optimization field of research and he has been very productive. And the PI has access to great resource at USC. It is noted that the PI has no previous research experience in computational biology. _x000D_
_x000D_
_x000D_
In the context of the five review elements, please _x000D_
evaluate the strengths and weaknesses of the proposal with respect to broader impacts._x000D_
_x000D_
The broad impact of the research to biology and other fiends is not convincing at the present form. The real world application is not well thought out and articulated. There is little evidence that the PI has made effort to really understand the scientific problems in other disciplines.  _x000D_
_x000D_
The PI is committed in education of graduate, undergraduate as well as high school students. The Pi has developed a nice educational plan._x000D_
_x000D_
Please evaluate the strengths and _x000D_
weaknesses of the proposal with respect to any additional solicitation-specific review criteria, if _x000D_
applicable_x000D_
_x000D_
_x000D_
_x000D_
Summary Statement_x000D_
_x000D_
In this application,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this reviewer has major concern whether the research will have a high impact since there are more powerful methods than finite mixture model for solving problems related to clustering big data. The proposed application to computational biology is a major weakness since the research plan there seems poorly developed. And there is no evidence that the research proposed here will be useful in the broader computational biology field. _x000D_
_x000D_
_x000D_
</t>
  </si>
  <si>
    <t>JE0931898</t>
  </si>
  <si>
    <t>Qiu</t>
  </si>
  <si>
    <t>peng.qiu@bme.gatech.edu</t>
  </si>
  <si>
    <t xml:space="preserve">In the context of the five review elements, please _x000D_
evaluate the strengths and weaknesses of the proposal with respect to intellectual merit._x000D_
_x000D_
This project focuses on finite mixture models, which are popular tools to describe observations of heterogeneous populations with subpopulation structures. The proposed research is motivated by the difficulties of parameters optimization in mixture models due to their non-convex and combinatorial nature, as well as the big-data challenge in many disciplines, in particular, sequencing data in genomics applications. _x000D_
_x000D_
Strengths:_x000D_
_x000D_
- The proposed aims in this project attempts to make contributions from both the theoretical perspective and the applications. _x000D_
_x000D_
- Aim 3 describes an interesting application in genomics. Due to the error rate of long read sequencing data, analysis of such data often requires special preprocessing or special modeling considerations. Large mixture models can be useful tools here, but I do have some reservation regarding the example here, which is mentioned in the weaknesses below. _x000D_
_x000D_
- Established collaboration with PacBio, which provide the technology to generate long read sequencing data in Aim 3. _x000D_
_x000D_
- Aim 4 is intriguing, using an approximation of the cross valudation to derive a gradient with respect to tuning parameters, which can guide the efficient tuning of these parameters. Although it does not seem to be applicable to discrete tuning parameters (e.g. number of nodes and layers in deep learning), I think this is a neat contribution, and the PI already showed that this can be applied to regularizatoin parameters. _x000D_
_x000D_
- The PI has strong track record and is well-suited to carry out the proposed research. _x000D_
_x000D_
_x000D_
Weaknesses:_x000D_
_x000D_
- Aim 1 describes the structure of the cost surface of MLE in several special cases of GMM with small number of components, and proposes to investigate cases with larger K. Although these are interesting exercices, this aim seems to be a bit disconnected to the remaining of the proprosal. It is unclear whether any general result can be obtained for large K. _x000D_
_x000D_
- Still related to Aim 1, regarding the observed pattern for K=3 where two of the estimated means are close to each other, is this because of the symmetry in the model, or because of the dimensionality of the data being too low, or something else? I would appreciate some discussions on more insights to the intuituion behind what gives rise to such pattern, rather than just saying we saw it and we clevered bypassed it. _x000D_
_x000D_
- In Aim 3, the result shown in Figure 9 seems too good to be true. Given the estimated transcript accuracy of ICE reported in [25], or more precisely the TOFU pipeline, the ICE/TOFU algorithm already showed excellent performance. The vertical axis in Figure 9 appears to be in log-scale. It is unclear why there is such a huge gap between the proposed method and [25], especially in terms of false positives. This result is probably generated using some simulated data. I wonder what simulation setting made the proposed method behave so much better than [25], and the next question is whether the simulation setting used here reflects what people see in real data. _x000D_
_x000D_
- The example used in Figure 8 is essentially a divisive hierarchical clustering algorithm, where the abundance threshold serves as a stopping criterion. Yes, the abundance quantification at each layer can be performed by mixture models where the number of transcripts (nodes) is fixed. Therefore, the only thing that needs to be estimated are the \rho's. Referring back to GMM, this is a setting where the \mu and \sigma of all the gaussian components are known, and only the mixing probabilities are estimated. However, aim 1 focused on examples of estimating the means. This echos my earlier comment that aim 1 seems to be disconnected from the other aims._x000D_
_x000D_
_x000D_
In the context of the five review elements, please _x000D_
evaluate the strengths and weaknesses of the proposal with respect to broader impacts._x000D_
_x000D_
_x000D_
Strengths: _x000D_
- The education plan includes developments at both graduate and undergraduate level. _x000D_
_x000D_
- The plan on high school outreach is described in details, showing the PI is already spending efforts on this. _x000D_
_x000D_
- The Viterbi VAST and NAI programs provide excellent platforms and support for the PI's outreach plan. _x000D_
_x000D_
_x000D_
_x000D_
Please evaluate the strengths and _x000D_
weaknesses of the proposal with respect to any additional solicitation-specific review criteria, if _x000D_
applicable_x000D_
_x000D_
_x000D_
_x000D_
Summary Statement_x000D_
_x000D_
This project aims to make contributions to both theory/algorithm and applications. Although aim 1 asks interesting questions, it seems to be a bit disconnected. Aims 3 and 4 are the more exciting aims. In the summary page, the Intellectual Merit section mentioned many extremely interesting questions, which raised my interests and expectations of the proposal. However, I felt that the research plan did not really deliver enough answers / conjectures to half of them. The application in genomics is quite focused and thus narrow. It may strengthen the proposal if the PI describe more computational biology applications, and also include briefly descriptions of the biological validation. _x000D_
_x000D_
_x000D_
</t>
  </si>
  <si>
    <t xml:space="preserve">In the context of the five review elements, please _x000D_
evaluate the strengths and weaknesses of the proposal with respect to intellectual merit._x000D_
_x000D_
This proposal is about mixture model inference optimization problems. The author proposes to develop new practically applicable algorithms for such problems. While I found the problems compelling, I did not find much in the proposal to support what kinds of techniques or theoretical insights might lead to improvements. In addition, it was not clear how the proposed research may be connected to other theoretical problems studied in computer science or elsewhere._x000D_
_x000D_
In the context of the five review elements, please _x000D_
evaluate the strengths and weaknesses of the proposal with respect to broader impacts._x000D_
_x000D_
The research questions proposed by the author have many practical applications, and progress on them would be very nice._x000D_
_x000D_
Please evaluate the strengths and _x000D_
weaknesses of the proposal with respect to any additional solicitation-specific review criteria, if _x000D_
applicable_x000D_
_x000D_
_x000D_
_x000D_
Summary Statement_x000D_
_x000D_
The proposed research is of high practical importance, but seems to lack the theoretical depth I would like to see for this program._x000D_
_x000D_
</t>
  </si>
  <si>
    <t>HP0916892</t>
  </si>
  <si>
    <t>Shehu</t>
  </si>
  <si>
    <t>amarda@cs.gmu.edu</t>
  </si>
  <si>
    <t xml:space="preserve">In the context of the five review elements, please _x000D_
evaluate the strengths and weaknesses of the proposal with respect to intellectual merit._x000D_
_x000D_
Strengths:_x000D_
_x000D_
Work on finite mixture models that utilize structure in an optimization landscape is in itself interesting._x000D_
_x000D_
PI Expertise: The PI has a strong background in optimization._x000D_
_x000D_
The PI has adequate resources._x000D_
_x000D_
Weaknesses:_x000D_
_x000D_
The a priori information on K is limiting, and it is not clear how finite mixture models provide an advantage over infinite mixture models._x000D_
_x000D_
The PI has no published track record in computational biology._x000D_
_x000D_
No indication is provided on what theoretically-sound properties will be pursued or demonstrated._x000D_
_x000D_
In the context of the five review elements, please _x000D_
evaluate the strengths and weaknesses of the proposal with respect to broader impacts._x000D_
_x000D_
Strengths:_x000D_
_x000D_
The high-school outreach plan is comprehensive._x000D_
_x000D_
Weaknesses:_x000D_
_x000D_
The project is narrow in scope and can benefit from a tighter connection with computational biology problems. There could possibly be other areas that can benefit from the proposed research, but the PI misses an opportunity in this respect._x000D_
_x000D_
Though preliminary data are related for Task 2, it is unclear whether the proposed activities will make a broader impact in computational biology._x000D_
_x000D_
It is also unclear that the proposed activities will make a more general contribution. For instance, in the context of big data, does the PI expect the same structure in the landscape? The proposal does not generalize from a few shown examples or provide some intuition for why the proposed techniques will be more than a neat but narrow-scope exercise._x000D_
_x000D_
Please evaluate the strengths and _x000D_
weaknesses of the proposal with respect to any additional solicitation-specific review criteria, if _x000D_
applicable_x000D_
_x000D_
_x000D_
_x000D_
Summary Statement_x000D_
_x000D_
This project proposes efficient and theoretically-sound optimization_x000D_
algorithms in finite mixture model inference. The focus is on large_x000D_
and multi-dimensional datasets with many clusters. The formulation_x000D_
under finite mixture models and the under-developed connection with_x000D_
problems of relevance in computational biology raise doubts on the_x000D_
impact of the proposed research activities. The planned educational_x000D_
and outreach activities are very good._x000D_
_x000D_
</t>
  </si>
  <si>
    <t>The ability and flexibility of finite mixture distributions to model the presence of subpopulations within an overall population has made them popular across almost all engineering and scientific disciplines. However, the theory and algorithms for mixture model inference problems are little understood beyond special cases, such as Gaussian mixture models (GMM). Moreover, most of the existing algorithms with theoretical performance guarantees are not scalable to the modern applications of massive size. This is mainly due to the combinatorial and non-convex nature of the underlying optimization problems. This project aims to fundamentally improve our understanding of these optimization problems and develop large-scale optimization procedures with theoretical performance guarantees for solving them. _x000D_
   Despite being motivated by the inference problems in mixture models, the tools and analyses in this project will cover many other non-convex problems as discussed in the proposal.It is expected that the results of the proposed research include:_x000D_
- Answers to fundamental open questions on mixture model inference optimization problems: What are the critical points of a ?typical? objective function? Are all local optimal points globally optimal? Are spurious local optima informative? What is the chance of being trapped in local optima?_x000D_
- Scalable algorithms for computation of ?informative? critical points in non-convex statistical learning problems. These developments will include first order optimization procedures which can escape saddle points of the constrained optimization problems. To date, there is no known algorithm with such favorable property in the optimization community._x000D_
- Efficient computational procedures for direct optimization of out-of-sample performance in statistical learning. To date, the common practice is to learn statistical models over a training set; and then adjust regularizers to achieve optimal out-of-sample performance using cross-validation. This project suggests a fundamentally different framework by optimizing cross-validation functions directly._x000D_
- Development and implementation of publicly available algorithms and software package(s) for long-read transcriptome sequencing problem in computational biology. This problem, which is in fact a mixture model inference problem, is central to biological applications. To date, there is no efficient algorithm/software package with statistical guarantees for this task.The results of this proposal are expected to indirectly affect many scientific disciplines due to the wide-applicability of mixture models and other similar non-convex optimization problems. Moreover, the resulting algorithms and software packages will have direct impact on the transcriptome sequencing and abundance estimation in computational biology. These results, which are developed with close close collaboration with industrial partners, will be available under open source license on GitHub.com._x000D_
The integration of research and education plan in this project includes: development of a new graduate level course, mentoring students, organizing reading groups for students in different departments, and establishing research connections between academia and industry. Central to the educational plan of this proposal is the outreach to high school students through USC Neighborhood Academic Initiative (NAI) and Viterbi Adopt-a-School Adopt-a-Teacher (VAST) programs to develop and distribute lesson plans to high school students and teachers.</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</si>
  <si>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Addressing robustness in numerical simulation of nonlinear elastic solids through optimization integration and improved collision treatments_x000D_
_x000D_
L: 1750076 Schroeder, Craig U of Cal Riverside $  440,331_x000D_
_x000D_
_x000D_
P180207 NC AF CAREER/CRII Panel A (14 panelists; 0 decl confl),_x000B_  on 10/24/2017, recommended as Not Competitive (V,F,F,F)_x000D_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</si>
  <si>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1750118</t>
  </si>
  <si>
    <t>Li</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</si>
  <si>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</si>
  <si>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</si>
  <si>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</si>
  <si>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</si>
  <si>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</si>
  <si>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</si>
  <si>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1750127</t>
  </si>
  <si>
    <t>Nagarajan</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</si>
  <si>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</si>
  <si>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</si>
  <si>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</si>
  <si>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</si>
  <si>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</si>
  <si>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</si>
  <si>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1750140</t>
  </si>
  <si>
    <t>Panigrahi</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</si>
  <si>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</si>
  <si>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</si>
  <si>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</si>
  <si>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</si>
  <si>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</si>
  <si>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</si>
  <si>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1750302</t>
  </si>
  <si>
    <t>Dinitz</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</si>
  <si>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</si>
  <si>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</si>
  <si>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</si>
  <si>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</si>
  <si>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</si>
  <si>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</si>
  <si>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1750333</t>
  </si>
  <si>
    <t>Ene</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</si>
  <si>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</si>
  <si>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</si>
  <si>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</si>
  <si>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</si>
  <si>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</si>
  <si>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1750344</t>
  </si>
  <si>
    <t xml:space="preserve"> Panel Summary       
 Description: This proposal is about working with noisy data. There are 3 main lines of problems discussed: learning from compressed data, list-decodable learning, and computation involving humans.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List decodable learning asks if it is possible to return multiple hypothesis out of which at least one is correct such as returning two lines for solving linear regression. _x000D_
PI asks how to discover truth in a crowd-sourcing setting, list decoding truth, emulating multiplicative weight updated method to penalize those who give wrong answer etc._x000D_
_x000D_
_x000D_
Strengths_x000D_
The PI has a track record of outstanding and highly influential results. _x000D_
This project will likely continue that trend._x000D_
The PI does a good job of motivating and presenting various applications. _x000D_
_x000D_
Weaknesses_x000D_
Although the high level goals of the proposal were explained well, it does not contain enough concrete details about the proposed research. It would be a better proposal if it contained concrete models to capture the problems being discussed in the proposal, as well as including more partial attempts and technical barriers to solving the problems._x000D_
The proposal does not explicitly specify the kinds of learning algorithms would be  studied under the compressed data model._x000D_
Past work on streaming algorithms, sketching and crowdsourcing has not been adequately discussed._x000D_
The proposal needs more discussion of techniques used and conjectures or partial attempts for algorithms or lower bounds._x000D_
_x000D_
Broader Impact: _x000D_
+ past work of the PI has had a big influence in other scientific fields _x000D_
_x000D_
_x000D_
Solicitation-specific criteria: _x000D_
The PI has an award-winning track record of teaching. The PI has also innovated greatly on course content and philosophy, in a very interesting and effective way. _x000D_
_x000D_
Data Management Plan: adequate_x000D_
_x000D_
Suggestions to PI: The proposal would be rated higher if it contained concrete models to capture the problems being discussed in the proposal, including partial attempts and technical barriers to solving the problems._x000D_
_x000D_
_x000D_
_x000D_
Justification for Panel Rating: _x000D_
The panel acknowledges that the PI has a strong track record, and is doing important work. The main drawback of the current proposal is a lack of detail about concrete models for the problems discussed, discussion about the technical barriers involved, and partial/failed attempts to solve the problems. _x000D_
_x000D_
_x000D_
Panel Rating: _x000D_
_ Highly Competitive_x000D_
_ Competitive_x000D_
X Low Competitive_x000D_
_ Not Competitive_x000D_
_x000D_
_x000D_
The summary was read by/to the panel and the panel concurred that the summary accurately reflects_x000D_
the panel discussion._x000D_
_x000D_
</t>
  </si>
  <si>
    <t xml:space="preserve">In the context of the five review elements, please _x000D_
evaluate the strengths and weaknesses of the proposal with respect to intellectual merit._x000D_
_x000D_
This proposal deals with so called 'flaky data' and proposes sublinear algorithms, i.e., algorithms that use only a small part of the data to solve various tasks._x000D_
_x000D_
_x000D_
Strengths:_x000D_
_x000D_
1.	The notion of algorithms for flaky data is interesting and seems a relatively new paradigm proposed by the PI. Flaky data are those that are corrupted and algorithms that can handle such data will be very useful in practice as well. It is worthwhile to address the theoretical issues that arise._x000D_
_x000D_
2.	The PI does a good job of motivating and presenting various applications. The proposal reads well._x000D_
_x000D_
3.	The PI has done strong work  publishing in top conferences and is qualified to do this research._x000D_
_x000D_
Weaknesses:_x000D_
_x000D_
1.	The connection between sublinear algorithms and flaky  data is not compelling. Sublinear algorithms have been studied extensively with a clear motivation of using less  time or space (these are not covered here very much). Here doing the same for flaky data seems to make it far more challenging. It seems that these are two different issues and the proposal is not very convincing in promoting this new concept._x000D_
_x000D_
2.	Many of the problems are informally described. It is better to concretely identify key questions and state them rigorously. Many of the preliminary works presented also are quite informal and somewhat vague. _x000D_
_x000D_
_x000D_
In the context of the five review elements, please _x000D_
evaluate the strengths and weaknesses of the proposal with respect to broader impacts._x000D_
_x000D_
_x000D_
_x000D_
Strengths:_x000D_
_x000D_
1.  Algorithms that work on unreliable data has potential for various applications. The project mentions several motivating scenarios._x000D_
_x000D_
2.	The PI has a strong teaching record and proposes to integrate as much as possible his research into both graduate and undergraduate teaching._x000D_
_x000D_
Weaknesses:_x000D_
_x000D_
None,_x000D_
_x000D_
_x000D_
Please evaluate the strengths and _x000D_
weaknesses of the proposal with respect to any additional solicitation-specific review criteria, if _x000D_
applicable_x000D_
_x000D_
The project integrates education and research well._x000D_
_x000D_
Summary Statement_x000D_
_x000D_
This is an interesting, somewhat speculative proposal that targets certain niche data problems where the data might be unreliable or corrupted and the goal is to process the data to answer certain queries  using less data. While the concept is ambitious, the proposal does not concretely identify key mathematical questions to tackle and then propose concinving preliminary work. The teaching component of the proposal is strong._x000D_
_x000D_
</t>
  </si>
  <si>
    <t xml:space="preserve">In the context of the five review elements, please _x000D_
evaluate the strengths and weaknesses of the proposal with respect to intellectual merit._x000D_
_x000D_
This proposal is about working with noisy data. There are 3 main lines of problems discussed: learning from compressed data, list-decodable learning, and computation involving humans. I found the proposal to be well-written, but short on technical details and motivation. I would have liked to see more evidence that the PI has spent time identifying potential avenues of ideas that might lead to solutions to the problems he proposes._x000D_
_x000D_
For the problem of learning from compressed data, where the algorithm itself is compressing data and then learning from it, the problem seems identical to sketching/data structures except that the number of queries is small (or 1 in the case of the example given in the proposal). I found the motivation given for this setting unconvincing. _x000D_
_x000D_
The problem of list-decodable learning seems more interesting to me, and the example of estimating the histogram of means is interesting. I would have liked to see more details about the techniques used and conjectures or partial attempts for algorithms or lower bounds. With human-in-the-loop computation, the model is less clear, and again, the proposal is low on technical details._x000D_
_x000D_
_x000D_
In the context of the five review elements, please _x000D_
evaluate the strengths and weaknesses of the proposal with respect to broader impacts._x000D_
_x000D_
The proposal has a solid plan for impact on education, with a strong past track record of successes._x000D_
_x000D_
Please evaluate the strengths and _x000D_
weaknesses of the proposal with respect to any additional solicitation-specific review criteria, if _x000D_
applicable_x000D_
_x000D_
_x000D_
_x000D_
Summary Statement_x000D_
_x000D_
This proposal considers some interesting and novel problems. The problems should be better justified in terms of their technical merit and potential tractability._x000D_
_x000D_
</t>
  </si>
  <si>
    <t xml:space="preserve">In the context of the five review elements, please _x000D_
evaluate the strengths and weaknesses of the proposal with respect to intellectual merit._x000D_
_x000D_
The PI proposes to work on sublinear algorithms for "flaky data".  _x000D_
The directions have the potential of being important and highly innovative.  A first direction on learning on compressed data deliberately introduces noise (as might happen in differential privacy).  An example of mean estimation is given to motivate a model of what should be required by the algorithm.   Further generalizations to higher dimensions are proposed.   A second direction -- "list decodable learning" is well motivated.  Finally, "human in the loop"_x000D_
computation is considered.  Some of the questions seem similar to bandit problems, and if so, the relationship should be discussed._x000D_
_x000D_
The PI has a track record of outstanding and highly influential results which have had impact well beyond Computer Science. This project will likely continue that trend, though it would be good to give more specific details on the plan of attack._x000D_
_x000D_
In the context of the five review elements, please _x000D_
evaluate the strengths and weaknesses of the proposal with respect to broader impacts._x000D_
_x000D_
The PI has a good track record of teaching (received a very prestigious award).  The PI has also innovated greatly on course content and philosophy, seemingly in a very interesting and effective way._x000D_
_x000D_
_x000D_
_x000D_
Please evaluate the strengths and _x000D_
weaknesses of the proposal with respect to any additional solicitation-specific review criteria, if _x000D_
applicable_x000D_
_x000D_
_x000D_
_x000D_
Summary Statement_x000D_
_x000D_
intellectual merit:_x000D_
+ interesting proposal_x000D_
+ PI has strong track record_x000D_
- questions could be fleshed out more clearly_x000D_
_x000D_
Broader impact:_x000D_
+ innovative teacher in terms of classroom format as well as viewpoint on material (award winning)_x000D_
+ influence in other scientific fields_x000D_
_x000D_
</t>
  </si>
  <si>
    <t xml:space="preserve">In the context of the five review elements, please _x000D_
evaluate the strengths and weaknesses of the proposal with respect to intellectual merit._x000D_
_x000D_
The proposal plans to develop sublinear algorithms for flaky data, specifically learning on compressed data, list decodable learning and handling human error._x000D_
_x000D_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_x000D_
List decodable learning asks if it is possible to return multiple hypothesis out of which at least one is correct such as returning two lines for solving linear regression._x000D_
_x000D_
PI asks how to discover truth in a crowd-sourcing setting, list decoding truth, emulating multiplicative weight updated method to penalize those who give wrong answer etc. _x000D_
_x000D_
Strength and Weakness: The proposal only touches few problems at a very high level without concretely formalizing any problem. For example, what kind of learning algorithms will be studied under compressed data model. Same question applies to other sections._x000D_
_x000D_
There is such a huge literature on streaming algorithms and sketching method, discussion of which is missing. The proposal just briefly talks about count-min sketch. _x000D_
_x000D_
There is also a huge literature on crowdsourcing algorithms and on inferring true answers. It is unclear what new things this proposal is going to bring in the front._x000D_
_x000D_
_x000D_
_x000D_
_x000D_
_x000D_
In the context of the five review elements, please _x000D_
evaluate the strengths and weaknesses of the proposal with respect to broader impacts._x000D_
_x000D_
Broader impact just mentions about PI's qualification as teacher. It would be good to include other impacts that the proposal can bring._x000D_
_x000D_
Please evaluate the strengths and _x000D_
weaknesses of the proposal with respect to any additional solicitation-specific review criteria, if _x000D_
applicable_x000D_
_x000D_
_x000D_
_x000D_
Summary Statement_x000D_
_x000D_
Overall, developing sublinear algorithms over noisy data is important, but the proposal is not structured well, and does not clearly specify the concrete problems that it will tackle._x000D_
_x000D_
</t>
  </si>
  <si>
    <t>The internet contains a vast amount of data, much of it of dubious accuracy, authenticity, impartiality, or integrity. This project aims to adapt the techniques of machine learning and statistics to apply in this newly crucial realm of what we call "flaky data". We adopt the "sublinear algorithms" approach, where we seek algorithms that make decisions in much less time than it would take to process all the relevant data. Sublinear algorithms is a rapidly developing area embracing techniques for quickly "sketching" a synopsis of data that enables broad and nuanced analyses based only on a small approximate sketch of the original data, enabling drastically faster approximate answers to queries about the - potentially very large - original data. Such sketches, however, tend to rely on precise assumptions about the original data that are violated in several ways in the real world. The aim of this project is to draw on the proposer's experience in developing key sublinear statistical estimation algorithms, in order to extend the reach of sublinear algorithms to many practically relevant regimes of unreliable data where no existing algorithms apply.The intellectual merit of the proposed work consists of bringing together several recent lines of algorithmic work to illuminate an area that looks poised to become an interdisciplinary locus of activity. This project aims to create algorithms that are powerful, yet robust. It also aims to develop a toolbox of techniques to get the most use from valuable data. There is enormous potential impact for results in this problem area, as a growing understanding of the settings in which we can robustly compute on unreliable data will shape the next generation of designs for interactive online platforms.First, developing practical algorithms that work despite unreliable data will have a broad impact because unreliable data occurs everywhere on the internet. Both internet companies and internet users would use and benefit from these advances. Second, the project will spark broadly interdisciplinary interest in its developments because the challenges raised touch on so many areas, from the computational fields of machine learning and data science to the areas of mathematics and statistics that underpin the techniques of this project. Finally, this project will have a positive impact on both undergraduate and graduate education, through the proposer's practice of of integrating research ideas into teaching through student projects and presentations, as well as an interactive teaching style that promotes both the development of communication skills and engagement between theory and practice.</t>
  </si>
  <si>
    <t>1750436</t>
  </si>
  <si>
    <t>Mehta</t>
  </si>
  <si>
    <t xml:space="preserve"> Panel Summary       
  Description: _x000D_
This proposal aims to tackle many important and fundamental problems in equilibrium computation. In particular, the PI will investigate complexity classes PPAD, CLS and PLS, which are for total search problems. Some of the key questions proposed include what the hardness of constant approximation for computing Nash equilibrium is, whether there are complete problems for CLS, how PPAD and PLS relate to each other. _x000D_
_x000D_
Intellectual Merit: _x000D_
_x000D_
Strengths_x000D_
  + The  research plan has a clear, overarching theme. The questions being asked are very ambitious: some of the questions have been open for a long time. Despite that, the PI has done a great job fleshing out short-term questions and new approaches to tackle the longer-term questions. _x000D_
 + The proposed research will likely contribute to novel approximation algorithms for long-standing open problems and/or shed light on the complexity of search problems. _x000D_
+ The PI is well known and has an excellent track record in this area. She is very qualified to carry out the proposed research. _x000D_
_x000D_
Weaknesses_x000D_
- As the PI mentioned, Harrow et al.'s recent work has used SoS based approach to provide answers to the questions proposed in Section 3.1. It will be helpful if the PI can discuss how her independent approach differs from that of Harrow et al., whether the approach could refine or improve the results of Harrow et al. and what further results can be expected here. _x000D_
_x000D_
Broader Impact: _x000D_
_x000D_
Strengths_x000D_
  + The course development and mentoring plans are interesting. Students include a female PhD student._x000D_
  + The PI has organized workshops, and will do it again _x000D_
  + The PI is developing a module for high-school on game theory_x000D_
_x000D_
Solicitation-specific criteria: _x000D_
+ Integration of education and research is good._x000D_
- The PI mentioned the CS+Econ program. It will further strengthen the integration if the PI can discuss how her course would fit in with the new program. _x000D_
_x000D_
Data Management Plan: _x000D_
Adequate_x000D_
_x000D_
What is bold, exciting, high risk/reward, or potentially transformative? _x000D_
The research agenda is very ambitious, but includes a set of well carved out problems. Solving these problems will help close long-standing, important open problems. _x000D_
_x000D_
Justification for Panel Rating:  _x000D_
An ambitious proposal with a clear, coherent theme and well-reasoned problems. The panel has some concerns on how Harrow et al.'s recent work affects the proposed research in section 3.1. _x000D_
_x000D_
Panel Rating: 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</si>
  <si>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make progress on many important and fundamental problems in equilibrium computation. The PI plans to investigate the complexity classes CLS, PLS, and PPAD, which are the most fundamental classes of search problems (problems which always have a solution, and the goal is to find such a solution). The focus in on applying techniques from modern approximation algorithms like the sum-of-squares approach and SDP hierarchies to form better approximation algorithms for various computation problems, on smoothed complexity, and on analyzing how these three classes are related and the exact structure of CLS (specifically understanding the problem EoPL and whether it is CLS-complete). This proposal is likely to either come up with novel approximation algorithms for long-standing open problems, or give large insights into the complexity of search problems._x000D_
_x000D_
Strengths:_x000D_
_x000D_
+ The questions being asked are very ambitious: some of the questions have been open for a long time and many researchers have been working on them. That said, the PI does a good job in proposing concrete short-term questions and some new approaches for studying longer-term ones. Even if the big open questions are not solved, there are likely to be important insights obtained from this proposal._x000D_
_x000D_
+ The proposal is ambitious as befits a CAREER proposal, and has a clear overall theme. The PI is very qualified, and has either preliminary work, or at least some idea on how to proceed, for most of the research directions._x000D_
_x000D_
+ In regards to specific research directions: (1) Looking at EoPL and how it relates to class CLS is important, as it would give an intuitive and coherent picture of how these three complexity classes relate to each other. (2) Using techniques from modern approximation algorithms like SoS for equilibrium computation and related problems is clearly worthwhile, and has already met with some success. (3) Showing good smoothed complexity for various search problems in PLS is extremely interesting, and would give great support for using local search algorithms for such search problems. It is very encouraging that the PI has already had some success in this._x000D_
_x000D_
Weaknesses:_x000D_
_x000D_
- The PI could probably compare with some of the existing work a bit more thoroughly. While the PI provides possible approaches for many of the research directions, it is difficult to evaluate how promising these approaches are._x000D_
_x000D_
In the context of the five review elements, please _x000D_
evaluate the strengths and weaknesses of the proposal with respect to broader impacts._x000D_
_x000D_
Strengths:_x000D_
_x000D_
+ Graduate and undergraduate course development, students including a female PhD student_x000D_
_x000D_
+ The PI has a history of mentoring female students_x000D_
_x000D_
+ The PI has organized workshops, and will do it again_x000D_
_x000D_
+ The PI is developing a module for high-school on game theory_x000D_
_x000D_
Please evaluate the strengths and _x000D_
weaknesses of the proposal with respect to any additional solicitation-specific review criteria, if _x000D_
applicable_x000D_
_x000D_
_x000D_
_x000D_
Summary Statement_x000D_
_x000D_
An ambitious proposal on fundamental open problems in equilibrium computation; the PI is very qualified and this is likely to result in some nice insights. _x000D_
_x000D_
_x000D_
</t>
  </si>
  <si>
    <t xml:space="preserve">In the context of the five review elements, please _x000D_
evaluate the strengths and weaknesses of the proposal with respect to intellectual merit._x000D_
_x000D_
This proposal aims to tackle a set of complexity theoretic and algorithmic questions on Nash and market equilibrium computation. In particular, it considers complexity classes, PPAD, CLS and PLS, all related to total search problems. It is well known that computing Nash equilibrium for matrix games is PPAD-complete. Many results have been developed in the literature for equilibrium computation. However, some important questions in this domain remain open for decades. The PI focuses on a set of such open questions in this proposal, including trying to understand whether PTAS algorithms exists for PPAD-complete equilibrium computation, to develop complete problems for the CLS class, and establish the relation between PPAD and PLS. _x000D_
_x000D_
The techniques and approaches that the PI plans to use include sum-of-squares, beyond worst-case analysis, and conditional lower bound. _x000D_
_x000D_
The PI has proposed to solve some very challenging and long-standing open complexity theoretic questions. She has an excellent track record in this area and is one of the few people who are qualified to solve these problems._x000D_
_x000D_
In the context of the five review elements, please _x000D_
evaluate the strengths and weaknesses of the proposal with respect to broader impacts._x000D_
_x000D_
+ The research may have spillover effects to other scientific areas, such as algorithmic game theory, economics, approximation algorithms._x000D_
_x000D_
_x000D_
Please evaluate the strengths and _x000D_
weaknesses of the proposal with respect to any additional solicitation-specific review criteria, if _x000D_
applicable_x000D_
_x000D_
Adequate integration of research and education, through course development and student training. _x000D_
_x000D_
_x000D_
Summary Statement_x000D_
_x000D_
A solid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</si>
  <si>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focuses on advancing the state of the art in questions of computational complexity for a number of interesting problems and classes related to TFNP.  Settling a number of these complexity questions could have impact in a diverse set of subfields in across CS and possibly beyond._x000D_
_x000D_
2. To what extent do the proposed activities suggest and explore creative, original, or potentially transformative concepts?_x000D_
_x000D_
The questions addressed in the proposal are all interesting and potentially transformative depending on the direction that they are settled in.  A number of practical results could emerge from the exploration of the complexity questions enumerated and their approximations.  The questions are well grounded and the PI does a good job of providing intuition and understanding of these questions._x000D_
_x000D_
3. Is the plan for carrying out the proposed activities well-reasoned, well-organized, and based on a sound rationale? Does the plan incorporate a mechanism to assess success?_x000D_
_x000D_
The questions identified are interesting and the PI does a good job of positioning her past work w.r.t. her ability to address the various questions.  Some of these are ambitious open problems but providing intuition on the attack plan is very good._x000D_
_x000D_
In places the proposal gets a bit too into the details and consequently is not as developed as it could be in terms of explaining the importance of the questions.  Specifically, the mechanisms for impact include handing implementation off to undergrads, which is not ideal.  Also, there are no resources committed to fund this part of the work and the PI does not have a track record of releasing software._x000D_
_x000D_
4. How well qualified is the individual, team, or institution to conduct the proposed activities?_x000D_
_x000D_
The individual is well qualified to undertake the proposed research having published extensively in the field.  As is evidenced below she has a strong network of researchers to help her in this task._x000D_
_x000D_
5. Are there adequate resources available to the PI (either at the home institution or through collaborations) to carry out the proposed activities?_x000D_
_x000D_
The PI has a strong network of researchers who have committed to work with her on the proposal.  There are sufficient resources at the home institution to support the proposed research plan._x000D_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of the research work are impressive but outside of traveling to conferences there is very little plan to translate the research itself into broader impacts within the community or home institution._x000D_
_x000D_
2. To what extent do the proposed activities suggest and explore creative, original, or potentially transformative concepts?_x000D_
_x000D_
The course development and mentoring plans are interesting but not transformative.  Diving more into how this could contribute to the CS+ECON degree would be good._x000D_
_x000D_
3. Is the plan for carrying out the proposed activities well-reasoned, well-organized, and based on a sound rationale? Does the plan incorporate a mechanism to assess success?_x000D_
_x000D_
The plan to disseminate results is well reasoned, however the outreach plan is not well reasoned or elucidated._x000D_
_x000D_
4. How well qualified is the individual, team, or institution to conduct the proposed activities?_x000D_
_x000D_
The PI has experience in giving talks and organizing workshops.  It is not clear how well positioned the PI is for some of the proposed outreach activities._x000D_
_x000D_
5. Are there adequate resources available to the PI (either at the home institution or through collaborations) to carry out the proposed activities?_x000D_
_x000D_
This is a weak point of this proposal, the PI names a number of outreach activities but has not reached out to as many organizations or secured commitments or allocated funding in a way that would ensure the success of the proposed broader activities besides traveling to conferences._x000D_
_x000D_
Please evaluate the strengths and _x000D_
weaknesses of the proposal with respect to any additional solicitation-specific review criteria, if _x000D_
applicable_x000D_
_x000D_
_x000D_
_x000D_
Summary Statement_x000D_
_x000D_
A strong research proposal which focuses on a number of interesting and open in theoretical computer science related to the complexity of problems in TFNP.  The questions and ideas are excellent but the proposal is weak when it comes to translating these interesting theoretical questions into broader impact._x000D_
_x000D_
_x000D_
</t>
  </si>
  <si>
    <t>HU0975977</t>
  </si>
  <si>
    <t>Schoenebeck</t>
  </si>
  <si>
    <t>schoeneb@umich.edu</t>
  </si>
  <si>
    <t xml:space="preserve">In the context of the five review elements, please _x000D_
evaluate the strengths and weaknesses of the proposal with respect to intellectual merit._x000D_
_x000D_
The proposal seeks to study complexity theory as it relates to games and equilibrium.  This is an exciting area of complexity that is still rather new, promising interesting results.  _x000D_
_x000D_
Some of the key questions proposed are as follows:_x000D_
1)	Investigating class CLS which contains several problems, but none of them is complete, and the relations between them are unknown.  Here one key approach is using a EoPLùsimilar to PPAD, but each node also has a potential.  A key questions is whether this is complete for CLS.  Also, EoPL works as a nice intermediate step for showing things in CLS.  One question is how general this is:  can this work for all of Unique CLS? _x000D_
2)	Investigating hardness of a constant approximation for 2-Nash.  Current algorithms are optimal assuming PETH: investigate PETH or other ways to establish hardness.  Current algorithms are not very clever.  Author proposes using SoS, but unfortunately, this was already shown not to work, at least in a normal way.  [I did not find this approach very compelling since it has, unfortunately, been done.  Seems like the author found this out very recently.]  Perhaps there are clever ways to circumvent this negative result.  The author also proposes a bunch of other questions in a similar boat as const-approx Nash and wishes to investigate the relations.  This seems more promising than SoS.  I wish more time was spent here.  For example, some of these are exact and some are approximate problems.  Which relationships are the most promising, etc._x000D_
3)	Looking beyond worst case for equilibrium problems.  This seems especially promising with network coordination games, building on recent success for local Max-cut algorithms.  For NE, the average case does not seem that it is likely to capture interesting properties, so that is likely less useful.  _x000D_
_x000D_
_x000D_
_x000D_
_x000D_
_x000D_
The plan for carrying out the research is well-reasoned and most of the proposed directions build on recent advances in the field (parity games in quasi-polynomial time and smaoothed analysis for max-cut local, definition of CLR)_x000D_
_x000D_
_x000D_
The author is well-known in this area, and likely to succeed given the available resources.   _x000D_
_x000D_
_x000D_
A few things I was confused by:_x000D_
_x000D_
I do not see how "One way permutations" results in crypto are related to this.  Maybe more explanation would be helpful._x000D_
_x000D_
Some parts are not properly proof-read and it gets in the way of understanding: for example the second paragraph after Sub-question 3.1.  Should lower bound mean upper bound?  Also, doesn't this directly give a quasi-poly algorithm?  _x000D_
_x000D_
In the first sentence of section 4, it says that the ¢ approx for max-cut by local search is good.  But one gets this same approximation other ways, including a random solution.  Seems like a better example could be created for this.  _x000D_
_x000D_
_x000D_
_x000D_
_x000D_
In the context of the five review elements, please _x000D_
evaluate the strengths and weaknesses of the proposal with respect to broader impacts._x000D_
_x000D_
The research might have some practical applications.  Especially computing NE, which will likely be needed in proxy agents of the future._x000D_
_x000D_
Please evaluate the strengths and _x000D_
weaknesses of the proposal with respect to any additional solicitation-specific review criteria, if _x000D_
applicable_x000D_
_x000D_
The outreach plan is okay.  Programmatic details are lacking and the PI has little track record in out-reach activities.  _x000D_
_x000D_
There is a plan for building an instructional module for high-schoolers, and building a portal for mentor-mentee matching of UIUC undergraduates with K-12 students.  Plus a mentorship workshop at EC for graduate students looking for career advice.  _x000D_
Additionally there is a plan to produce a book, teach two graduate classes (which are already being taught), teach an undergraduate course, and mentor some undergraduate/graduate students.  _x000D_
_x000D_
_x000D_
Summary Statement_x000D_
_x000D_
The overarching research direction is compelling.  It has some strong components, and the author has a strong track-record of success.  The educational component is passable but not overzealous. _x000D_
_x000D_
_x000D_
</t>
  </si>
  <si>
    <t>Nash and market equilibrium are two of the most fundamental solution concepts in Game Theory and Economics respectively. The complexity of computing equilibria for most game and economic models are characterized by sub-classes of Total Function NP, namely Polynomial Parity Argument for Directed Graph (PPAD), Polynomial Local Search (PLS), and Continuous Local Search (CLS). Furthermore, these sub-classes manage to capture long-standing open problems from diverse fields, e.g., oneway permutation from cryptography, contraction map from topology, and simple stochastic games from verification, are all in CLS. Although by now we have a fair understanding of these classes and problems therein, many fundamental questions still remain unresolved. The proposal outlines a career development plan to explore these questions, that builds and significantly broadens PI's extensive work on computation and complexity of equilibria that settled decade-long open questions. High-level questions for this proposal are motivated by the following:_x000D_
* For important PPAD-complete problems, obtaining either PTAS or hardness of constant approximation is a major open question. Lower bounds grounded on well-established assumptions are also not known._x000D_
* CLS captures important problems from diverse fields, and recent work by the PI and others obtained the first CLS-complete problem, however, it does not come from a natural application. Thus, obtaining a natural complete problem for CLS remains open. Furthermore, most of the relations among problems in CLS also remain unknown. No sub-exponential or smoothed polynomial time algorithms are known for most of these problems. _x000D_
* Most equilibrium computation problems that are complete for PPAD and PLS have simple algorithms that work very well in practice, however, almost no theoretical explanation in terms of analysis that goes beyond the worst case is known.This project will need to develop novel tools for approximation and for beyond worst case analysis of equilibrium computation problems to break the long-standing barriers. Furthermore, novel reduction techniques will need to be developed to relate the open problems from diverse fields that are in CLS as well as to obtain hardness of approximation results. The PI plans to approach these by building on and extending her work on equilibrium computation, using tools from Sum-of-Squares, recent smoothed analysis techniques, and recent advances in proving lower bounds for equilibrium computation problems. Tools developed in the process will contribute to the burgeoning literature on approximation, smoothed analysis, sum-of-squares based approaches and conditional lower bounds, and will open up new avenues for further exploration.First, this work will provide efficient and robust algorithms for a large class of game models. This, in turn, will have a positive practical impact due to the numerous applications of these game models, e.g., social network analysis, resource allocation, etc. Second, it will shed light on connections between disparate fields such as verification and cryptography, and thereby will bring new insights into their important open problems._x000D_
_x000D_
In addition to publishing results, PI and co-authors will organize workshops at the intersection of algorithmic game theory, approximation, and complexity. Further, the PI plans to involve and train both graduate and undergraduate students through research and implementation tasks. Integration of research and teaching will be done through graduate and undergraduate courses. In this process, the PI plans to develop detailed lecture notes on Equilibrium Computation with the goal of producing a monograph by the end of this project. All the resulting material and code will be made freely available online. _x000D_
_x000D_
Building on her experience of organizing a session on Career Advice at EC'17, the PI plans to co-organize a one-day Mentoring Workshop at EC'18. Finally, the PI plans to reach out to the students from underrepresented groups through a number of UIUC initiatives.</t>
  </si>
  <si>
    <t>1750443</t>
  </si>
  <si>
    <t>Kol</t>
  </si>
  <si>
    <t xml:space="preserve"> Panel Summary       
  _x000D_
Description: The PI proposes to study interactive information theory.   Some directions the PI will take are to understand the gap between information cost and communication complexity, the extent to which the interactive analogue of data compression can be achieved, the direct sum problem and multiparty settings.  _x000D_
_x000D_
Intellectual Merit: The PI has spelled out a compelling and well detailed plan, with many fundamental questions of varying difficulty.   The PI has made important contributions in these directions, and is likely to make further progress on them.  _x000D_
Strengths_x000D_
  + compelling research direction_x000D_
  +  progress will be important to understanding interactive communication_x000D_
  + extremely strong track record_x000D_
Weaknesses_x000D_
  - In some later sections, does not elaborate enough on new ideas/approaches to make progress (or at least to give some negative approaches)._x000D_
  _x000D_
_x000D_
Broader Impact:  The PI will mentor students, give tutorials and create a new course._x000D_
Weaknesses_x000D_
 -  Not spelled out beyond known scientific impacts._x000D_
  - Would be good to see more details on each part of the educational component_x000D_
_x000D_
Solicitation-specific criteria:  The PI will develop a new course on interactive information for Computer Science and Electrical Engineering majors.  This part of the proposal needs to be improved._x000D_
_x000D_
Data Management Plan: adequate_x000D_
_x000D_
_x000D_
Suggestions to PI: Should talk to program managers and other PIs to get a sense of typical broader impact expected in NSF proposals, and specific criteria for CAREER proposals._x000D_
_x000D_
_x000D_
Justification for Panel Rating:  The research direction is important, the plan is promising and the PI has a very strong track record. The proposal would be rated higher if it contained more details in the broad impact section._x000D_
_x000D_
Panel Rating: _x000D_
_ Highly Competitive_x000D_
x Competitive_x000D_
_ Low Competitive_x000D_
_ Not Competitive_x000D_
_x000D_
The summary was read by/to the panel and the panel concurred that the summary accurately reflects the panel discussion._x000D_
</t>
  </si>
  <si>
    <t>PREGALI</t>
  </si>
  <si>
    <t>P180139</t>
  </si>
  <si>
    <t xml:space="preserve"> CIF CAREER IT-COMM Panel</t>
  </si>
  <si>
    <t xml:space="preserve"> Panel Summary       
 The goal of this research is to advance information theory in the interactive setting with a particular focus on the compression problem in the interactive setting. In particular, the PI lists important and significant problems in the intersection of source coding and interactive communication. _x000D_
_x000D_
INTELLECTUAL MERIT _x000D_
_x000D_
Strengths: _x000D_
_x000D_
+ The proposal lists many interesting and very challenging problems in this area. _x000D_
_x000D_
+ The PI has an excellent record. _x000D_
_x000D_
_x000D_
Weaknesses: _x000D_
_x000D_
- The proposal reads like a long list of very difficult problems with little explanation regarding the main technical challenges and the approach the PI intends to take in order to tackle or solve them. _x000D_
_x000D_
- Without sufficient details and in its current form, the proposal lacks sufficient novel ideas to merit funding, such as defining information costs in multi-party problems. _x000D_
_x000D_
- To be competitive with other information/coding theory proposals, the PI is encouraged to consider and explicitly discuss the operational meaning/implication of the proposed analysis. Also, a tighter asymptotic analysis would be of interest. _x000D_
_x000D_
BROADER IMPACTS _x000D_
_x000D_
The proposal has a rather brief treatment of the broader impacts of the research, with only a sketch of an education plan. This is a major shortcoming since NSF submissions are required to carefully address broader impacts of the work. _x000D_
_x000D_
SOLICITATION-SPECIFIC CRITERIA _x000D_
_x000D_
The scope of the proposed research is appropriate for a five year effort, and the departmental letter adequately addresses support and mentoring for the PI. However, the NSF CAREER program aims to encourage junior PIs to develop meaningful integration of their research and teaching. The PI, hence, is encouraged to address this in her future submissions. _x000D_
_x000D_
_x000D_
SUMMARY _x000D_
_x000D_
In summary, the proposal addresses an ambitious set of challenging problems in the areas of interactive communications and complexity theory. The PI has an excellent record and is well-positioned to tackle the listed problems. However, the proposal lacks sufficient details on the specific challenges, the approach, or the analytic methodology. The proposal also fails to sufficiently discuss educational aspects or the integration of teaching and research. _x000D_
_x000D_
The panel placed the proposal in the following category: _x000D_
_x000D_
[ ] Highly Competitive _x000D_
[ ] Competitive _x000D_
[x] Low Competitive _x000D_
[ ] Not Competitive _x000D_
_x000D_
The summary was read by/to the panel and the panel concurred that the summary accurately reflects the panel discussion. 
</t>
  </si>
  <si>
    <t>XG0933641</t>
  </si>
  <si>
    <t>Calderbank</t>
  </si>
  <si>
    <t>robert.calderbank@duke.edu</t>
  </si>
  <si>
    <t xml:space="preserve">In the context of the five review elements, please _x000D_
evaluate the strengths and weaknesses of the proposal with respect to intellectual merit._x000D_
_x000D_
Interactive communication involves a pair (X, Y) of random variables distributed over some support set S. Person PX knows X, person PY knows Y, and both know S. The parties use a predetermined protocol to exchange binary messages in order for PY to learn X; PX may or may not learn Y. _x000D_
_x000D_
Communication complexity measures the amount of communication required to solve a task, and information cost measures the amount of information the parties need to reveal about themselves to solve the task. The relationship between the two is fundamental and fascinating. The question of how much an external party learns from observing the protocol, also the generalization to multiple parties, is very important._x000D_
_x000D_
Communication complexity bears upon several problems of significant engineering interest, including that of the edit distance between correlated files, and the privacy / utility tradeoff in querying databases. It bears upon public policy issues of great current interest, for example the goal of ensuring that a given entity (industry or government), trusted to infer certain information with our data, is blocked from inferring protected information from it. For example, a hospital might be allowed to produce a diagnosis on the patient (the positive task), without being able to infer the gender of the subject (negative task). _x000D_
_x000D_
For random errors in interactive communication, the PI has derived a protocol that guarantees a communication rate of 1 û O( (H(epsilon)1/2) and a converse that show the protocol is sometimes optimal. This is a significant result._x000D_
_x000D_
The proposal does not engage with potential applications, nor does it develop a program for interdisciplinary education, rather it is focused exclusively on deriving fundamental mathematical understanding. The aim of the proposal is impact on theoretical computer science, which might be expected, since it is in fact a theoretical computer science proposal._x000D_
_x000D_
_x000D_
In the context of the five review elements, please _x000D_
evaluate the strengths and weaknesses of the proposal with respect to broader impacts._x000D_
_x000D_
If broad impact should happen, it will be accidental, since the PI does not propose a plan for amplifying the impact of the proposed research plan._x000D_
_x000D_
_x000D_
_x000D_
Please evaluate the strengths and _x000D_
weaknesses of the proposal with respect to any additional solicitation-specific review criteria, if _x000D_
applicable_x000D_
_x000D_
_x000D_
_x000D_
Summary Statement_x000D_
_x000D_
Intellectual Merit: Good_x000D_
Broad Impact: Poor_x000D_
_x000D_
</t>
  </si>
  <si>
    <t>SQ0817026</t>
  </si>
  <si>
    <t>Hassibi</t>
  </si>
  <si>
    <t>Hassibi@caltech.edu</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</si>
  <si>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While the proposal is mostly limited to questions of compression (in two and multiparty interactive communication), within this confine, the scope of the proposal is quite ambitious_x000D_
-	The PI has a well thought out research agenda_x000D_
-	The questions studied by the PI are deep and of a foundational nature_x000D_
_x000D_
_x000D_
Weaknesses _x000D_
_x000D_
-	While the proposal is well written at a high level, at some points it is difficult to follow, because of a lack of detail and constant reference to a myriad of papers in the literature. The proposal would have benefited from some concrete descriptions/discussions of the approaches used in a few places._x000D_
-	The proposed work appears to be one that requires strong technical skills (which the PI certainly has). However, it is a little short on novel ideas and concepts. All the problems, information measures, etc., come from prior work (especially, that of Braverman). In this sense, the proposal reads as a continuation of work that earlier researchers have done. It would have been nice had the PI been able to come up with his own new measures of information cost in the multi-party setting and with a much more detailed discussion of the channel modeling issues that come up in error-correction coding for interactive communications._x000D_
_x000D_
_x000D_
In the context of the five review elements, please _x000D_
evaluate the strengths and weaknesses of the proposal with respect to broader impacts._x000D_
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Weaknesses _x000D_
_x000D_
-	The broader impacts, whether educational (graduate, undergraduate), outreach (to industry, other scientific communities, the lay communities and society) is not very well developed and is a weakness of the proposal_x000D_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_x000D_
Weaknesses _x000D_
_x000D_
-	The broader impacts, whether educational (graduate, undergraduate), outreach (to industry, other scientific communities, the lay communities and society) is not very well developed and is a weakness of the proposal_x000D_
_x000D_
_x000D_
Please evaluate the strengths and _x000D_
weaknesses of the proposal with respect to any additional solicitation-specific review criteria, if _x000D_
applicable_x000D_
_x000D_
_x000D_
_x000D_
Summary Statement_x000D_
_x000D_
This proposal studies the problems of interactive communication and computation. In particular, it attempts to lower bound the communication complexity of a certain function (or protocol) by information theoretic measures such as the internal (and external) information costs._x000D_
_x000D_
</t>
  </si>
  <si>
    <t>QH0821140</t>
  </si>
  <si>
    <t>Javidi</t>
  </si>
  <si>
    <t>tjavidi@eng.ucsd.edu</t>
  </si>
  <si>
    <t xml:space="preserve">In the context of the five review elements, please _x000D_
evaluate the strengths and weaknesses of the proposal with respect to intellectual merit._x000D_
_x000D_
The goal of this research is to deepen the understanding of information theory in the interactive setting with a particular focus on the compression problem in the interactive setting. In particular, the PI lists important and significant problems in the intersection of source coding and interactive communication. _x000D_
_x000D_
The scope of the project is extremely ambitious; the general area of interactive communication is an extremely important setting, making any research project in this domain extremely valuable. In addition the PI has an excellent track record and is very well positioned to tackle the problems posed. _x000D_
_x000D_
While each of the 14 problems posed by the PI are challenging and the solution to each of which is of significant impact, the proposal reads somewhat disjoint on the common (analytic) underpinning of the actual problems or the most promising methodology. The proposal would have been far stronger if the PI had chosen a subset of the problems listed and provide details on the uniqueness of her approaches and/or the steps involved in successfully tackling the problems proposed. _x000D_
_x000D_
The PI has adequate institutional support._x000D_
_x000D_
In the context of the five review elements, please _x000D_
evaluate the strengths and weaknesses of the proposal with respect to broader impacts._x000D_
_x000D_
The proposal includes a good and solid education plan with mentoring of gradate students._x000D_
_x000D_
Please evaluate the strengths and _x000D_
weaknesses of the proposal with respect to any additional solicitation-specific review criteria, if _x000D_
applicable_x000D_
_x000D_
_x000D_
_x000D_
Summary Statement_x000D_
_x000D_
In summary, the proposed work is ambitious and if successful impactful. However, the proposal would have much improved if the PI choses to focus the writing and the work._x000D_
_x000D_
</t>
  </si>
  <si>
    <t>MP0784008</t>
  </si>
  <si>
    <t>Nosratinia</t>
  </si>
  <si>
    <t>aria@utdallas.edu</t>
  </si>
  <si>
    <t xml:space="preserve">In the context of the five review elements, please _x000D_
evaluate the strengths and weaknesses of the proposal with respect to intellectual merit._x000D_
_x000D_
The proposed project intends to analyze interactive compression. It aims to answer the question: can the transcript of a communication protocol be compressed to its information content. Variations of the problems and its instances in different settings are considered._x000D_
_x000D_
Strengths:_x000D_
_x000D_
+ The proposal addresses interesting problems in interactive compression._x000D_
_x000D_
+ The PI is qualified to undertake the proposed research._x000D_
_x000D_
Weaknesses:_x000D_
_x000D_
- One could argue that interactive compression in a noiseless setting needs better motivation. Aside from questions in complexity theory, in what context would interactive compression be inherently (to the application) interesting or crucial? _x000D_
_x000D_
- Although one section is dedicated to relation to interactive coding, but this section raises new questions rather than tie the rest of the tasks to their equivalent coding problems.  The operational implication of many of the desired results from earlier sections were not sufficiently clarified._x000D_
_x000D_
_x000D_
_x000D_
In the context of the five review elements, please _x000D_
evaluate the strengths and weaknesses of the proposal with respect to broader impacts._x000D_
_x000D_
Weaknesses:_x000D_
_x000D_
- The explanation of the impact is too narrow and confined to the very specialized area of the proposal. The impact of the proposed work on the advancement of the broader theory of computation or information theory could have been explained better._x000D_
_x000D_
- The educational component is insufficient. The educational component of the proposal should be better developed, especially its connection to the research component._x000D_
_x000D_
_x000D_
Please evaluate the strengths and _x000D_
weaknesses of the proposal with respect to any additional solicitation-specific review criteria, if _x000D_
applicable_x000D_
_x000D_
Strengths:_x000D_
_x000D_
+ The scope of the project is compatible with a 5-year duration._x000D_
+ The departmental letter addresses support and mentoring of the PI._x000D_
_x000D_
Weakness:_x000D_
_x000D_
- The education plan is insufficient overall, as well as in addressing synergies between teaching and research._x000D_
_x000D_
_x000D_
Summary Statement_x000D_
_x000D_
A theoretical proposal about interactive compression. The broader impacts of the proposal could have been better clarified. The educational plan is inadequate and does not meet the solicitation-specific criteria._x000D_
_x000D_
</t>
  </si>
  <si>
    <t xml:space="preserve">In the context of the five review elements, please _x000D_
evaluate the strengths and weaknesses of the proposal with respect to intellectual merit._x000D_
_x000D_
This proposal addresses fundamental questions in interactive information theory, which deals  with interactive communication between parties, in contrast to Shannon's classical information theory which deals with one-shot communication. Specifically, a major part of the proposal focuses on  the interactive compression problem, which is the interactive analogue of the data compression problem. The goal is to prove theorems that are analogous to the classical results in information theory, namely noiseless coding theorem.  Interactive channel capacity is also addressed and the goal is to prove a counterpart of the Shannon's noisy coding theorem._x000D_
_x000D_
_x000D_
_x000D_
Strengths:_x000D_
1.	The proposal is generally well-written and focused. It gives a nice introduction to interactive information theory by putting it in context of  classical information theory. _x000D_
_x000D_
2.	The PI is very well-qualified and demonstrates good background and knowledge of the area.  _x000D_
_x000D_
3.	The proposal asks fundamental questions in the area. Addressing even some of these will  lead to significant advances in the field. At least, for some problems (interactive compression, interactive channel capacity), the PI has done significant prior work and seems poised to make progress on the future directions stated._x000D_
_x000D_
4.	Interactive information theory has close connections  to other areas of theory such as communication complexity and distributed computing and this proposal addresses some key issues in those areas._x000D_
_x000D_
Weaknesses:_x000D_
_x000D_
1.	While certain problems are very well-posed and articulated, some problems are just stated based on prior works of other researchers. It is clear that these are important and challenging problems, but no possible approaches to tackling them are mentioned nor any  prior work (even preliminary work) on these  by the PI are mentioned. Examples include the problems in Section 5 (Prior-free setting) and Section 6 (multi-party setting). In particular, it is not clear how to model information cost in the multiparty setting? Generally, this has been quite technical and difficult even for multi-party communication complexity. The PI does not give any hints on possible solutions._x000D_
_x000D_
_x000D_
In the context of the five review elements, please _x000D_
evaluate the strengths and weaknesses of the proposal with respect to broader impacts._x000D_
_x000D_
Strengths:_x000D_
_x000D_
1.	This research has connections with many areas, and has the potential to have an impact similar to Shannon's theory._x000D_
_x000D_
2.	The PI plans to help bridge theoretical computer science and information theory communities._x000D_
_x000D_
Weaknesses:_x000D_
_x000D_
1. The broader impact is rather weakly written and quite generic._x000D_
_x000D_
_x000D_
Please evaluate the strengths and _x000D_
weaknesses of the proposal with respect to any additional solicitation-specific review criteria, if _x000D_
applicable_x000D_
_x000D_
Integration of education and research is rather generic, more elaboration will be better._x000D_
_x000D_
Summary Statement_x000D_
_x000D_
This is a strong proposal focusing on interactive information theory, an important new area in information theory with many applications. The project addresses  fundamental and challenging questions in the area. The PI is very well-qualified to do research in this area with significant prior work. For some problems, more details on possible approaches could ne provided, given the challenging nature. Broader impacts and education plan could have been fleshed out better._x000D_
_x000D_
</t>
  </si>
  <si>
    <t xml:space="preserve">In the context of the five review elements, please _x000D_
evaluate the strengths and weaknesses of the proposal with respect to intellectual merit._x000D_
_x000D_
The intellectual merit component of the proposal is very strong.  The PI proposes questions in compression of interactive protocols._x000D_
Given the known lower bounds (shown by the PI), the PI suggests natural, well motivated, next questions to study -- that is, instead of_x000D_
asking for "nearly perfect compression", can you get a weaker, but still pretty good, compression.  The PI proposes to determine whether there are good algorithms for computing the "information cost", which is a quantity that lower bounds communication complexity.  Extensions to the multiparty setting are proposed.  The PI proposes to work on a number of other questions, including the multiparty setting and interactive coding._x000D_
_x000D_
PI has fantastic track record of solving big open problems in the area._x000D_
_x000D_
In the context of the five review elements, please _x000D_
evaluate the strengths and weaknesses of the proposal with respect to broader impacts._x000D_
_x000D_
Likely impact on information theory._x000D_
_x000D_
Broader impact description could use more details.  The PI has a track record of working with underrepresented groups, but it isn't mentioned (except in the publications)._x000D_
_x000D_
Please evaluate the strengths and _x000D_
weaknesses of the proposal with respect to any additional solicitation-specific review criteria, if _x000D_
applicable_x000D_
_x000D_
_x000D_
_x000D_
Summary Statement_x000D_
_x000D_
+ a large set of important questions, many of them difficult,_x000D_
but the PI has great track record on solving difficult problems._x000D_
_x000D_
- broader impacts could be more well developed._x000D_
_x000D_
</t>
  </si>
  <si>
    <t xml:space="preserve">In the context of the five review elements, please _x000D_
evaluate the strengths and weaknesses of the proposal with respect to intellectual merit._x000D_
_x000D_
The proposal proposes to extent the works on interactive information theory by answering  some of the open questions that have arise in this area. The PI has herself done some very nice works in this area. The problems considered in this proposal are _x000D_
_x000D_
(1) Understanding gap between information cost and communication complexity. Recently such separation has been provided by PI and her coauthors, but those consider special kind of functions. The goal will be to obtain a more general result._x000D_
_x000D_
(2) Interactive compression which is the interactive analogue of data compression: This is related to question (1) and PI will study whether it is possible to develop good compression schemes whose communication complexity grows slowly with information cost and some parameters of the problem. _x000D_
_x000D_
(3) The direct sum problem: Instead of studying it in the amortized setting, the PI proposes to study the one-shot (single copy case) for example, one-shot Wyner-Ziv problem and asks what other classical information theory theorems can be studied in this framework._x000D_
_x000D_
(4) Multiparty setting where the attention is to understand the same questions where several parties are involved._x000D_
_x000D_
There are other problems related to external information cost, interactive compression under various restricted model, connection to interactive coding etc._x000D_
_x000D_
Summary of Strength and Weakness: _x000D_
This is a focused proposal--questions are well-spelled out as they stem from open questions in the papers, some of them are by PI herself, and for that reason I feel good progress will be made. The PI has strong track record and has adequate support from the department._x000D_
_x000D_
The proposal mostly does not contain any idea or approach on how progress will be made. The questions asked are next natural steps stemming from open problems that are currently left out. Having one or two out of the box innovative questions/problems and new ideas that are missing in current literature would have made this proposal much more appealing to me._x000D_
_x000D_
_x000D_
_x000D_
In the context of the five review elements, please _x000D_
evaluate the strengths and weaknesses of the proposal with respect to broader impacts._x000D_
_x000D_
Broader impact is weak for a CAREER proposal. The impact of the results in theoretical computer science and information theory are of course well understood. But beyond that, the proposal does not put effort to spell out anything else._x000D_
_x000D_
Please evaluate the strengths and _x000D_
weaknesses of the proposal with respect to any additional solicitation-specific review criteria, if _x000D_
applicable_x000D_
_x000D_
_x000D_
_x000D_
Summary Statement_x000D_
_x000D_
It is a strong proposal in interactive information theory by a well-qualified PI and it is likely that good progress will be made. The broader impact section of the proposal is considerably weak for a CAREER proposal. Not enough direction is provided on how open questions will be tackled._x000D_
_x000D_
</t>
  </si>
  <si>
    <t>GK0768160</t>
  </si>
  <si>
    <t>Tarokh</t>
  </si>
  <si>
    <t>vahid@seas.harvard.edu</t>
  </si>
  <si>
    <t xml:space="preserve">In the context of the five review elements, please _x000D_
evaluate the strengths and weaknesses of the proposal with respect to intellectual merit._x000D_
_x000D_
The PI considers communications complexity.   In this setting the communication complexity of a function f with respect to a distribution is the minimum communication complexity of a protocol that computes f with high probabilities (she sets this to be 0.9) given that the inputs are drawn according to that distribution.  The information cost of function computation is roughly the amount of information that the parties need to reveal about their inputs to compute f.  For a protocol, this equals to the sum of amounts of information that each party learns about the others assuming that the protocol is executed.  She then proposes to come up with an algorithm to compute this efficiently and asks herself if information cost is equal to the communications complexity.  Her definition of equality is based on order or even polynomial order._x000D_
_x000D_
She then goes on to consider interactive compression, where she points out a result of Braverson that IC + r bits of communications suffice for compression using a protocol that has r rounds. She concludes 'intuitively' that she has to compress multiple rounds in order to reduce compression complexity.  She then reviews her own previous result in this direction about there exist cases that there is a gap between communications complexity and information complexity and proposes to improve on these gaps (at least in order) in future research.  She also asks questions about many questions about situations when a protocol can be replaced by other protocols with same information content but different orders of communications complexities._x000D_
_x000D_
Strengths:  The PI seems amazingly strong.  The topic is interesting (at least to me)._x000D_
_x000D_
Weaknesses: No details of technical approaches to solve the proposed problems are given.  The order analysis may be interesting to theoretical computer scientists, but their relevance to practice, and Shannon Theory are questionable._x000D_
_x000D_
The proposal seems more suitable for a theoretical computer science panel._x000D_
_x000D_
_x000D_
_x000D_
In the context of the five review elements, please _x000D_
evaluate the strengths and weaknesses of the proposal with respect to broader impacts._x000D_
_x000D_
The broader impact statement about potential impacts of the results on other areas of science is good._x000D_
_x000D_
Please evaluate the strengths and _x000D_
weaknesses of the proposal with respect to any additional solicitation-specific review criteria, if _x000D_
applicable_x000D_
_x000D_
_x000D_
_x000D_
Summary Statement_x000D_
_x000D_
Good proposal. Details of technical approaches are missing. The brightest spot is the PI herself which seems super-strong._x000D_
_x000D_
</t>
  </si>
  <si>
    <t xml:space="preserve">In the context of the five review elements, please _x000D_
evaluate the strengths and weaknesses of the proposal with respect to intellectual merit._x000D_
_x000D_
Strong research program of further developing the theory of compression in the interactive setting.  The PI had a pair of papers giving an exponential separation between information cost and communication complexity. The PI hopes to further improve these, as well as solve related problems.  One problem is developing a theory of information cost in the multiparty setting.  The PI also discusses applications to communication complexity and interactive coding._x000D_
_x000D_
The PI has a strong track record in the field._x000D_
_x000D_
_x000D_
In the context of the five review elements, please _x000D_
evaluate the strengths and weaknesses of the proposal with respect to broader impacts._x000D_
_x000D_
The PI discusses the relevance of information and communication in related fields, as well as educating students._x000D_
_x000D_
Please evaluate the strengths and _x000D_
weaknesses of the proposal with respect to any additional solicitation-specific review criteria, if _x000D_
applicable_x000D_
_x000D_
_x000D_
_x000D_
Summary Statement_x000D_
_x000D_
A very good proposal about developing the theory of compression in the interactive setting._x000D_
_x000D_
</t>
  </si>
  <si>
    <t>In the beautiful 1948 paper "A mathematical theory of communication", Claude Shannon introduced information theory and used it to study one-way data transmission problems over different channels. The paper defines and constructs the first error correcting codes and data compression schemes. Shannon's work has had a profound impact on both the practical and theoretical communities, finding application in almost every branch of science and beyond. Information theory is especially relevant today with the rise of the internet and data-intensive applications._x000D_
    In the last decades, interactive communication protocols that perform computations were studied extensively, as interaction often allows for more efficient solutions and models real communication better than one-way models. Interactive information theory is a new field of study at the interface between information theory and the study of interactive protocols. While interactive information theory encompasses many concepts, the key ingredient that sets it apart from classical information theory is that it studies problems where information flows in more than one direction._x000D_
    The goal of the proposed project is to deepen our understanding of information theory in the interactive setting, exploring the question: To what extent can Shannon's results be generalized to the interactive setting, where parties engage in an interactive communication protocol that carries out a computation? We are also interested in applications of interactive information theory to theoretical computer science and to classical information theory._x000D_
    Specifically, we consider the interactive compression problem, which is the interactive analogue of the data compression problem. Informally speaking, the celebrated data compression theorems imply that every message can be compressed to its information content, measured using the Entropy function. The interactive compression problem asks whether the transcript of every communication protocol can be compressed to (roughly) its "information content". An affirmative answer to this problem would also yield a powerful method for proving nearly tight communication complexity lower bounds, and may shed light on other central problems in theoretical computer science that are closely related to it._x000D_
    Key Words: Information Theory; Communication Complexity; Interactive Protocols; Data Compression; Source Coding; Direct SumInteractive information theory studies fundamental problems regarding the flow of information in interactive settings. Information and communication are at the heart of theoretical computer science and related fields. Understanding the interplay between information and communication in the interactive setting is crucial for advancing our knowledge in these fields.The unprecedented effect of Shannon's classical information theory on the sciences, gives hope that a better understanding of the relations between information and communication will also have applications in a wide range of fields. The impact of our project on theoretical computer science is immediate, mainly through connection to the field of communication complexity. The research is also relevant to the information theory community, which often considers related problems. Building better interdisciplinary connections is one of our goals. As part of this project, we intend to train students, and create a new advanced course that covers the new advancements in the field.</t>
  </si>
  <si>
    <t>1750463</t>
  </si>
  <si>
    <t>Raghvendra</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</si>
  <si>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</si>
  <si>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</si>
  <si>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</si>
  <si>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</si>
  <si>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</si>
  <si>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</si>
  <si>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1750555</t>
  </si>
  <si>
    <t>Hardt</t>
  </si>
  <si>
    <t xml:space="preserve"> Panel Summary       
 Description:_x000D_
_x000D_
The PI proposes to make machine learning more reliable by using algorithmic stability as the technical framework for developing novel theory and practical tools. The proposed work spans three important domains where machine learning, theoretical computer science, and statistics intersect: reliable data science; understanding deep learning; and stability for unsupervised learning. A fourth domain that is also included in the proposal is algorithmic fairness in machine learning, a loaded topic that has received continuous media coverage lately. In all four areas the PI has contributed significant prior work that he intends to build upon in novel, transformative directions. The PI has formulated many precise research questions in the proposal, ranging from the rate of estimation in adaptive data analysis to more reliable benchmarks to the grand challenge of replacing p-values in scientific applications by stability._x000D_
_x000D_
Intellectual Merit:_x000D_
_x000D_
Strengths_x000D_
  + ambitious research tasks with the potential for strong impact in any scientific field where machine learning is applied._x000D_
  + excellent PI with strong track record of ground-breaking contributions._x000D_
  + strong potential for transformative research that could use algorithmic stability to replace the traditional notion of p-values in scientific application domains._x000D_
  _x000D_
Weaknesses_x000D_
  None identified by the panelists._x000D_
_x000D_
Broader Impact: _x000D_
_x000D_
Strengths_x000D_
  + the proposed research, if successful, could impact our understanding of the reliability of the outputs of machine learning algorithms, both in the supervised and the unsupervised setting._x000D_
  + the PI has already made significant efforts to achieve community building around the objectives of this proposal by organizing workshops and specialized conferences that cut across theoretical computer science, machine learning, and statistics. The panel concurred that his work has strong potential to influence all the aforementioned communities._x000D_
  + reasonable educational component; even though the PI just joined UC Berkeley, he is advising multiple PhD students. _x000D_
_x000D_
Weaknesses_x000D_
  None identified by the panel. _x000D_
_x000D_
Solicitation-specific criteria:_x000D_
_x000D_
The panel concurred that the integration of education and research in this proposal is adequate. The panel appreciated the fact that the community building activities proposed by the PI will help train graduate students at the intersection of Machine Learning, Statistics, and Theoretical Computer Science. _x000D_
_x000D_
Data Management Plan: _x000D_
_x000D_
The data management plan is adequate._x000D_
_x000D_
Justification for Panel Rating:  _x000D_
_x000D_
A very well-written, ambitious proposal. Very strong intellectual merit and outstanding potential for broader impact in scientific fields that are impacted by unreliable machine learning. The PI's reputation and record are strong indicators for the proposal's success._x000D_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</si>
  <si>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provide new models and  algorithms with provable guarantees for several topics of significant importance in modern machine learning, including:_x000D_
_x000D_
(1) Reliable machine learning with the goal of reducing false discovery and overfitting._x000D_
(2) Understanding deep networks, for example how the parameterization of the model can help in easing optimization, and how in turn easier optimization problems may lead to better generalization._x000D_
(3) Unsupervised learning_x000D_
(4) Fairness in machine learning_x000D_
_x000D_
The proposed questions are very interesting and of high potential impact. The PI has already done seminal works in all of these directions, and overall he is uniquely qualified to attack the questions proposed._x000D_
_x000D_
The one section I found less convincing is the unsupervised learning section, but even without that section the proposal is very interesting._x000D_
_x000D_
_x000D_
In the context of the five review elements, please _x000D_
evaluate the strengths and weaknesses of the proposal with respect to broader impacts._x000D_
_x000D_
The PI has been actively engaged in organizing workshops on topics related to those in this proposal. He has also mentored students (through summer internships) and engaged with broad interdisciplinary audiences. He plans to continue all these. _x000D_
_x000D_
_x000D_
Please evaluate the strengths and _x000D_
weaknesses of the proposal with respect to any additional solicitation-specific review criteria, if _x000D_
applicable_x000D_
_x000D_
_x000D_
_x000D_
Summary Statement_x000D_
_x000D_
This is a very strong proposal aiming to provide new models and  algorithms with provable guarantees for several topics of significant importance in modern machine learning. The PI has an excellent track record on the proposed topics and is uniquely qualified to tackle the proposed questions._x000D_
_x000D_
</t>
  </si>
  <si>
    <t xml:space="preserve">In the context of the five review elements, please _x000D_
evaluate the strengths and weaknesses of the proposal with respect to intellectual merit._x000D_
_x000D_
This is an exciting and ambitious proposal that focuses on stability in machine learning. The proposed research tackles the problem in three directions: (1) develop new techniques and algorithms for adaptive data analysis to prevent false discovery, (2) use re-parameterization to explain when and why deep learning networks perform and generalize well and (3) develop notions of stability for unsupervised learning. These directions will help establish a stability theory for machine learning and hence are of significant importance.  In addition to the above, the proposed research also touches on privacy and fairness in machine learning. _x000D_
_x000D_
The PI has a track record of publishing in the area of proposed research is well qualified to carry out the proposed research. _x000D_
_x000D_
_x000D_
In the context of the five review elements, please _x000D_
evaluate the strengths and weaknesses of the proposal with respect to broader impacts._x000D_
_x000D_
+ Research results may have broad spillover effect on machine learning practice.  _x000D_
+ Increase awareness of societal consequences of machine learning via FATML workshop/conference_x000D_
+ Technology adoption by company and machine learning challenges_x000D_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advising/mentoring._x000D_
_x000D_
Summary Statement_x000D_
_x000D_
An excellent proposal._x000D_
_x000D_
</t>
  </si>
  <si>
    <t xml:space="preserve">In the context of the five review elements, please _x000D_
evaluate the strengths and weaknesses of the proposal with respect to intellectual merit._x000D_
_x000D_
The PI proposes to make machine learning more reliable by leveraging algorithmic stability as the technical framework for developing novel theory and practical tools. More specifically, the PI proposes to work on three domains: reliable data science; understanding deep learning; and stability for unsupervised learning. In all three areas, the PI will build upon his significant (and one could say groundbreaking) prior work. The PI has had significant contributions at the intersection of machine learning and theoretical computer science: for example, his work on the reusable holdout method which avoid biases that are introduced by probing the same holdout set multiple times using different methods. The PI crucially used ideas from differential privacy, showing that differential privacy implies algorithmic stability (which, in turn, implies generalization --- this is not the PI's work)._x000D_
_x000D_
The PI proceed to formulate many precise questions ranging from the rate of estimation in adaptive data analysis to more reliable benchmarks to the grand challenge of replacing p-values in scientific applications by stability (an excellent objective, in my opinion). Then, the PI proposes to work on understanding the interplay between optimization and parameterization in deep learning, again posing a number of precise technical questions to achieve the end goal. Finally, the PI discusses the potential of algorithmic stability for unsupervised learning: roughly speaking, the PI proposes to significantly extend our understanding of the observation that stability implies_x000D_
useful composition properties, thus ensuring that the unsupervised learner performs well with respect to a second learning task. The PI defines a potential framework that might be used to address such questions._x000D_
_x000D_
From an intellectual merit perspective, the proposed research directions are outstanding. The only concern might be the relative lack of technical details outlining the PI's approach to tackle the formidable challenges laid out in the proposal. However, in my opinion, this lack of technical details is mitigated by the PI's exceptional record which is a strong indicator of success for the proposed work._x000D_
_x000D_
In the context of the five review elements, please _x000D_
evaluate the strengths and weaknesses of the proposal with respect to broader impacts._x000D_
_x000D_
The broader impact of the proposal stems from the importance of reliable machine learning: there is no doubt that irreproducible research is at least partly due to poor statistical analyses and lack of stable, reliable machine learning approaches. The PI also has a significant amount of work on fairness in machine learning, even though this line of research did not seem to be in the forefront of the proposed work. The PI has organized workshops aiming to achieve community building around the objectives of this proposal and, in my opinion, his work will influence both the Machine Learning and Theoretical Computer Science communities. The proposed educational plan is reasonable but not outstanding._x000D_
_x000D_
Please evaluate the strengths and _x000D_
weaknesses of the proposal with respect to any additional solicitation-specific review criteria, if _x000D_
applicable_x000D_
_x000D_
See discussion above._x000D_
_x000D_
Summary Statement_x000D_
_x000D_
A very well-written, ambitious proposal. Very strong intellectual merit, and, if successful, outstanding broader impact. The PI's reputation and record is a strong indicator for the proposal's success._x000D_
_x000D_
</t>
  </si>
  <si>
    <t xml:space="preserve">In the context of the five review elements, please _x000D_
evaluate the strengths and weaknesses of the proposal with respect to intellectual merit._x000D_
_x000D_
This is a compelling proposal about machine learning. It discusses methods to improve reliability and avoid overfitting, to understand why deep learning is so successful in practice, and to develop a universal framework for generalization in unsupervised learning.  These are important problems, and the PI has an excellent track record on related work. Strong practical motivation._x000D_
_x000D_
This may or may not be a weakness for the theory panel, but recently the PI has published in ML venues, rather than theory ones.  Also, his PhD is from 2011, two years before most of the others, giving him perhaps an undeserved advantage._x000D_
_x000D_
_x000D_
In the context of the five review elements, please _x000D_
evaluate the strengths and weaknesses of the proposal with respect to broader impacts._x000D_
_x000D_
Part of the proposal is about fairness, and the PI has been raising awareness about the societal impact of algorithms.  The PI co-founded and has since co-organized a related workshop. He will also advise students, develop a course on fairness, and more._x000D_
_x000D_
Please evaluate the strengths and _x000D_
weaknesses of the proposal with respect to any additional solicitation-specific review criteria, if _x000D_
applicable_x000D_
_x000D_
_x000D_
_x000D_
Summary Statement_x000D_
_x000D_
A strong proposal about important areas of machine learning._x000D_
_x000D_
</t>
  </si>
  <si>
    <t>CAREER: Stable Foundations for Reliable Machine Learning_x000D_
_x000D_
Across all sciences, researchers hope to use algorithms and machine learning to derive reliable insights from data, but often research findings turn out to be false or hard to replicate. Indeed, assessing the validity of insights suggested by data is presently a difficult and error-prone task. Even in industry,_x000D_
where machine learning has fueled dramatic advances, more principled ways of benchmarking and improving the performance of a machine learning system would make a major difference. What often_x000D_
works best in practice are poorly understood non-convex optimization methods-leading to much guesswork with varying results. This inscrutable behavior of machine learning also has repercussions on society at large as more and more people struggle with the implications of algorithmic decisions in their daily lives. Fairness, interpretability, and transparency have become major talking points as algorithms increasingly aid or replace human judgment._x000D_
I aim to build guiding theory alongside scalable algorithms that make the practice of machine learning more reliable, transparent, and effective. Focusing on algorithmic stability as a unifying technical framework, this proposal targets three primary challenges:_x000D_
--Design a robust methodology to address the reliability crisis in data science and machine learning with the goal of reducing false discovery and overfitting. This effort extends on my recent work in the area of adaptive data analysis, but aims to complement the existing perspective with fundamentally new insights._x000D_
--Establish a working theory for why and when large artificial neural networks train and generalize well. This line of work will focus on how the parameterization of the model can help in easing_x000D_
optimization, and how in turn easier optimization problems may lead to better generalization performance._x000D_
--Develop a notion of algorithmic stability for unsupervised learning leading to a robust and universal framework to reason about generalization in unsupervised learning as is presently lacking. An important test case for this theory will be in the area of distribution learning and generative models.The proposed work combines a statistical view of algorithms with an algorithmic view of statistics, extending on the conceptual and technical repertoire of both disciplines. The work is likely to strengthen the ties between these fields, leading to new problems and concepts along the way.A major shortcoming of machine learning is its present lack of interpretable, reliable guarantees that do justice to its increasingly important role in science and society. Developing methods with strong theoretical underpinnings can provide much-needed a priori guarantees that avoid costly trial and error. More reliable machine learning methods may not only reduce the prevalence of incorrect scientific results, they can also facilitate the adoption of machine learning in high stakes applications. I have long been actively raising awareness about the societal impact of algorithms and machine learning, as exemplified not only by early work on privacy and fairness, areas that greatly benefit from a principled understanding of machine learning. Part of this ongoing effort has been community building through workshops, mentorship, teaching, and engaging with broad interdisciplinary audiences.</t>
  </si>
  <si>
    <t>1750640</t>
  </si>
  <si>
    <t>Ullman</t>
  </si>
  <si>
    <t xml:space="preserve"> Panel Summary       
 Description: _x000D_
This proposal focuses on developing data analysis algorithms that have rigorous guarantee of statistical accuracy, privacy, and computational efficiency. It contains several thrusts: (1) develop new techniques and algorithms with optimal sample complexity for interactive data analysis, (2) design computationally efficient and differentially private algorithms, (3) characterize realistic privacy attacks that can inform the design of privacy algorithms, and (4) adversarial machine learning. _x000D_
_x000D_
Intellectual Merit: _x000D_
_x000D_
Strengths_x000D_
  + The panel thinks the research plan is ambitious, compelling and generally well reasoned. The panelists are especially excited about the first two thrusts. Developing notions of stability that are weaker than differential privacy to establish new techniques and optimal algorithms for interactive data analysis and using techniques such as tensor completion and sum-of-squares algorithms to tackle the computational (in)efficiency of differentially private algorithms are exciting and potentially fruitful directions. _x000D_
 +  The panel thinks the crypto perspective that the PI takes is novel for the domain and can be transformative._x000D_
 + The PI has done substantial work in the research directions proposed and is one of the best researchers to carry out the proposed research. _x000D_
_x000D_
Weaknesses_x000D_
  - The last thrust is not very well fleshed out and probably can be left out._x000D_
_x000D_
Broader Impact:_x000D_
The panel thinks the proposal has excellent broader impact_x000D_
+ Workshop organization to reconnect the now very large differential privacy community. This is important and the PI has already been doing it. _x000D_
+ Podcast production showing how scientific perspective can be integrated into practical, non-academic subjects. The panel was especially excited about this broad science outreach. _x000D_
+ Excellent curriculum development and student involvement plan_x000D_
_x000D_
Solicitation-specific criteria: _x000D_
The integration of education and research is very well done._x000D_
_x000D_
Data Management Plan: _x000D_
Adequate_x000D_
_x000D_
What is bold, exciting, high risk/reward, or potentially transformative? _x000D_
The proposed research directions and the approaches that the PI plan to undertake can lead to high risk high reward research.  _x000D_
_x000D_
Justification for Panel Rating:  _x000D_
An excellent, ambitious and well thought-out proposal. 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</si>
  <si>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an excellently written and well reasoned proposal that aims to develop data analysis algorithms that can prevent false discovery in interactive data analysis, that are privacy preserving and computationally efficient, and generally speaking that are robust and trustworthy. _x000D_
_x000D_
The idea behind the proposed research is built upon the insight that challenges in both interactive data analysis and privacy-preserving statistical analysis can be tackled with a notion of stability. Differential privacy has been a popular notion of stability and in prior work has been used to prevent false discovery in interactive data analysis. But the notion of differential privacy is quite strong. For interactive data analysis, when applying differential privacy, it requires many more sample. For privacy-preserving statistical analysis, differential private algorithms often sacrifice computational efficiency. The PI aims to develop notions of stability that are weaker than differential privacy to establish new techniques and optimal algorithms for interactive data analysis and use techniques such as tensor completion and sum-of-squares algorithms to tackle the computational (in)efficiency of differential privacy. In addition to the above two thrusts, the PI will also investigate realistic privacy attacks and apply stable algorithms to other new settings such as adversarial machine learning. _x000D_
_x000D_
The PI has an established record in the area of differential privacy and using it for interactive data analysis. Despite the prior work, the proposed research is challenging and novel. The PI will take a crypto perspective for the proposed research and if successful will significantly advance the stability, reliability and trustworthy of algorithms and statistical analysis._x000D_
_x000D_
In the context of the five review elements, please _x000D_
evaluate the strengths and weaknesses of the proposal with respect to broader impacts._x000D_
_x000D_
+ Will produce more reliable and effective data analysis methods for empirical sciences and practitioners. _x000D_
+ Other excellent broader impacts including workshop organization to reconnect the now very large differential privacy community and a podcast production showing how scientific perspective can be integrated into practical, non-academic subjects. _x000D_
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 _x000D_
_x000D_
_x000D_
Summary Statement_x000D_
_x000D_
An excellent proposal. _x000D_
_x000D_
_x000D_
</t>
  </si>
  <si>
    <t xml:space="preserve">In the context of the five review elements, please _x000D_
evaluate the strengths and weaknesses of the proposal with respect to intellectual merit._x000D_
_x000D_
The PI proposes to perform research at the intersection of false discovery from interactive data analysis and statistical data privacy. Interestingly, the two fields have been unified by a body of work by many researchers, including prominent publications by the PI. The proposed research has four axes: (i) the use of differential privacy to prevent false discovery in interactive data analysis while sacrificing less statistical power (reducing false discovery in interactive data analysis is currently quite costly); (ii) computationally efficient privacy preserving algorithms for high-dimensional datasets; (iii) realistic privacy attacks to understand the limitations of privacy; and (iv) new applications of algorithmic stability to avoid sophisticated attacks in machine learning, such as training data manipulation, etc._x000D_
_x000D_
The PI expands on all aforementioned directions with a precise set of research topics and questions that are well-motivated and, in my opinion, is well qualified to address and resolve, at least from a theoretical perspective._x000D_
_x000D_
In the context of the five review elements, please _x000D_
evaluate the strengths and weaknesses of the proposal with respect to broader impacts._x000D_
_x000D_
The broader impacts of the proposal are definitely well above average. A nice educational plan, complemented with even a podcast production that the PI is co-producing. Student involvement and educational outreach are both quite reasonable. The only quibble might be the outreach to the machine learning community: it is not obvious how the PI's work will move from theoretical computer science to more applied venues: for the proposed line of the work to have true impact in practice, the PI will need to reach out to the statistics and the machine learning community, which is a rather tall order. However, this only slightly mitigates the broader impacts of a very good proposal._x000D_
_x000D_
Please evaluate the strengths and _x000D_
weaknesses of the proposal with respect to any additional solicitation-specific review criteria, if _x000D_
applicable_x000D_
_x000D_
See discussion above._x000D_
_x000D_
Summary Statement_x000D_
_x000D_
An ambitious, well-written proposal. Very good in terms of both intellectual merit and broader impacts._x000D_
_x000D_
</t>
  </si>
  <si>
    <t xml:space="preserve">In the context of the five review elements, please _x000D_
evaluate the strengths and weaknesses of the proposal with respect to intellectual merit._x000D_
_x000D_
Summary:_x000D_
_x000D_
This proposal deals with algorithms that have rigorous guarantees of privacy, security, and statistical accuracy. This is an important emerging area in theoretical computer science with many practical applications and is extremely timely with the emergence of Big Data. The main directions are:_x000D_
_x000D_
(1) Interactive data analysis: identifying new techniques and algorithms with optimal sample complexity. A key question is whether we can obtain more powerful algorithms by_x000D_
avoiding privacy or if this is even necessary._x000D_
_x000D_
(2) Designing efficient private algorithms for natural data analysis tasks._x000D_
_x000D_
(3) Realistic privacy attacks that can inform the design and deployment of privacy technologies._x000D_
_x000D_
_x000D_
_x000D_
Strengths:_x000D_
_x000D_
1.	The proposal is extremely very well written  and gives a nice tour de force of differential privacy and its applications. The connections to interactive data analysis  is very interesting and compelling. _x000D_
_x000D_
2.	The PI has done substantial work in essentially all the research directions proposed which are well-thought of and fleshed out._x000D_
_x000D_
3.	The project is right on the money in data analysis and addresses an important aspect, namely privacy and interactive data analysis. The latter has wide implications how data is used and interpreted. The PI is well-poised to make advances in the research directions proposed._x000D_
_x000D_
Weaknesses:_x000D_
1.	None._x000D_
_x000D_
_x000D_
_x000D_
In the context of the five review elements, please _x000D_
evaluate the strengths and weaknesses of the proposal with respect to broader impacts._x000D_
_x000D_
Strengths:_x000D_
_x000D_
1.	Privacy is obviously important and this research can lead to provably good privacy-preserving algorithms with rigorous privacy, security and statistical guarantees._x000D_
_x000D_
2.	Interactive data analysis can be very useful in empirical sciences and can lead to better interpretation of results based on interactive analysis._x000D_
_x000D_
3.	The PI has a strong program in connecting various communities that work in differential privacy._x000D_
_x000D_
4.	The project had an excellent curriculum development and student involvement plan. The PI has mentored a female undergraduate summer intern with whom he has co-authored a COLT paper._x000D_
_x000D_
_x000D_
Please evaluate the strengths and _x000D_
weaknesses of the proposal with respect to any additional solicitation-specific review criteria, if _x000D_
applicable_x000D_
_x000D_
The integration of education and research is very well done._x000D_
_x000D_
Summary Statement_x000D_
_x000D_
This is a strong and timely proposal on privacy aspects of data analysis. The PI is very well qualified to undertake the research agenda. The broader impact and education component is also well-written._x000D_
_x000D_
</t>
  </si>
  <si>
    <t xml:space="preserve">In the context of the five review elements, please _x000D_
evaluate the strengths and weaknesses of the proposal with respect to intellectual merit._x000D_
_x000D_
This proposal lays out several thrusts:_x000D_
1)	Rigorously studying interactive data analysis_x000D_
2)	Computationally efficient algorithms of DP_x000D_
3)	Realistic privacy attracks_x000D_
4)	Adversarial machine learning._x000D_
_x000D_
The most developed is #2.  About computationally efficient data summaries.  The basic idea here is to replace "synthetic data bases, which are either impossible or intractable, with some thing else.  The proposed methods forward are SoS and tensor composition.  They are quite intriguing, and also include back-up plans._x000D_
_x000D_
_x000D_
_x000D_
In the first thrust, the goal is to understand how privacy relates to interactive data analysis, and to figure out the fundamentals.  I think this seems like a great goal, unfortunately, some of the approaches listsed do not seem particularly promising (or perhaps I do not understand them much), but  One sub questions the PI proposes on the way is to study the statistical query model.  I did not understand this, because I don't see how to mix that data "size" metrics, and the SQ model.  I also did not deeply understand question 3, which seems to be asking about how many samples can be saved by testing k hypotheses together versus individually.  Q4 seems very interesting, asking about "what if the tester does not know the population", but the way forward is also a little vague._x000D_
_x000D_
The third trust is based on past research.  The goal is to create realistic attacks by building largely on this past work.  _x000D_
_x000D_
The fourth trust is adversarial machine learning.  This is the least developed.  It seems to miss vast research on the topic, and I do not see the intuitive connection beyond a very surface level._x000D_
_x000D_
The plan definitely explores important areas with novel ideas. _x000D_
_x000D_
The plans are a little spotty at places.  Though, this is often the case with theory research._x000D_
_x000D_
The PI is very qualified with adequate resources. _x000D_
_x000D_
_x000D_
In the context of the five review elements, please _x000D_
evaluate the strengths and weaknesses of the proposal with respect to broader impacts._x000D_
_x000D_
This proposal, if successful with have applications to large areas of empirical science, including datamining and data sharing.  This represents very exciting directions!_x000D_
It would also help the PI in his organization role at two workshops, creating a website for visibility of privacy research, and be input into the Pis grad course (and possible new UG course).  The PI will continue to mentor undergraduates and PhDs in research.  _x000D_
_x000D_
_x000D_
_x000D_
Please evaluate the strengths and _x000D_
weaknesses of the proposal with respect to any additional solicitation-specific review criteria, if _x000D_
applicable_x000D_
_x000D_
The main outreach is a pod-cast to discuss science topics to a broad audience.  While very ambitious, it seems only tangentially related to the proposal._x000D_
_x000D_
Summary Statement_x000D_
_x000D_
The proposal addresses really important questions by a very capable researcher.  Some of the paths forward are better worked out than others.  There is a large potential for broader impacts.  The educations outreach plan is okay but some parts seem rather unrelated to the research._x000D_
_x000D_
</t>
  </si>
  <si>
    <t>Every day, massive amounts of data are collected, analyzed, and used to make high-stakes decisions, raising many questions about how to use this data in a trustworthy manner.  This proposal is about two such questions: (1) How can researchers prevent false discovery and use data to learn meaningful facts about a population without overfitting to that data?  (2) How can researchers use valuable but sensitive data to learn about a population without compromising the privacy of the individuals in that data?  _x000D_
  Although they seem unrelated, these questions can both be addressed using stable algorithms---algorithms whose outputs are insensitive to small changes in their inputs.  Specifically, differential privacy is a strong form of algorithmic stability that guarantees a high degree of individual privacy yet admits highly accurate data analysis.  Recently, differential privacy has been shown to prevent false discovery in interactive data analysis---the common scenario where the same dataset is analyzed repeatedly, which has been implicated in a "statistical crisis in science" by Gelman and Loken.  This connection has led to dramatically more accurate algorithms for interactive data analysis._x000D_
  These examples show that stable algorithms are a strong and unified foundation for making data analysis more trustworthy in the face of modern challenges like false discovery and societal concerns over privacy.   This research program will make a unified study of these problems, and of the power of stable algorithms more generally.Our research will produce new algorithms with rigorous guarantees of privacy, security, and statistical accuracy---addressing key challenges to making these algorithms statistically efficient, computationally efficient, and aligned with modern practice.  It will also identify new barriers to achieving these goals and tradeoffs among them, both in theory and in practice.  Finally, this work will enrich and connect previously distinct areas of study via the unifying lens of algorithmic stability.  Specific contributions will include:_x000D_
(1) Building the foundations of interactive data analysis---identifying new techniques and algorithms with optimal sample complexity.  A key question is whether we can obtain more powerful algorithms by eschewing privacy, or whether privacy comes "for free" in interactive data analysis._x000D_
(2) New computationally efficient private algorithms for natural data analysis tasks, leveraging recent advances in machine learning to overcome computational hardness results for artificial tasks._x000D_
(3) A suite of realistic privacy attacks that can inform the design and deployment of privacy technologies, analogous to the way cryptanalysis informs cryptography.  This work is driven by the conjecture that differential privacy is the "right" stability notion to capture privacy, not only in theory, but in practice._x000D_
(4) Applying algorithmic stability to new problems in secure machine learning where data must be analyzed in the presence of adversaries who manipulate the training data or game the learned model.Privacy concerns are a major obstacle to the collection, sharing, and use of sensitive data coming from sources like medical records and online behavior, and the new algorithms produced in this research will enable greater access to these sensitive datasets.  By bridging the theoretical and applied literatures on privacy attacks, this research will also help prevent the use of unsound methods that lead to breaches and shake public confidence.  False discovery is also a major concern in the empirical sciences, and one that is increasingly discussed in the popular press.  By designing more effective algorithms for interactive data analysis, this research will help mitigate one significant source of false discovery.  Moreover, the broad impact of this research program will be amplified through new courses on data privacy that harness stability as a pedagogical tool to make the next generation of data scientists more fluent in privacy technology.  The impact will be further amplified through the PI's efforts to connect the fragmented privacy research community via a privacy research highlights website.  Finally, the PI will co-produce a podcast showing how the scientific and technological perspective can be applied to issues faced by the general public, including, but not limited to, the subjects of this research program.</t>
  </si>
  <si>
    <t>1750651</t>
  </si>
  <si>
    <t>Awasthi</t>
  </si>
  <si>
    <t xml:space="preserve"> Panel Summary       
  Description: The proposal aims to develop a new approach for unsupervised learning with provable guarantees. _x000D_
_x000D_
First, generalized clustering problems such as community detection, sparse coding, topic modeling etc. will be studied when model satisfies certain deterministic conditions such as weak deletion stability and/or perturbation resilience. _x000D_
_x000D_
Second, robust algorithms for generalized clustering problems as well as other important unsupervised learning algorithms will be studied where the model may be misspecified or there could be large amount of noise in data. The connection to semi random model will be explored. _x000D_
_x000D_
Finally, the proposal will explore new techniques to determine whether the underlying data has important structural properties that can be exploited to develop more efficient learning algorithms._x000D_
_x000D_
_x000D_
Intellectual Merit: _x000D_
_x000D_
Strengths_x000D_
  + Unsupervised learning is a very important paradigm in machine learning and more promising than supervised learning to scale to big data since there is no external annotation or intervention. _x000D_
_x000D_
+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 _x000D_
_x000D_
+ The proposal is very well written and presented. The background, approaches, and problems are clearly stated with a systematic research agenda. _x000D_
_x000D_
+ The PI is very well-qualified to undertake this research with significant prior publications, especially, in developing clustering algorithms under distribution-free models which exploit underlying pattern in data. _x000D_
_x000D_
+ In addition to theory, the project will evaluate the algorithms using real-world data sets. _x000D_
_x000D_
Weaknesses: _x000D_
- More elaboration on the technical difficulties and challenges in tackling the proposed problems would have been better. _x000D_
_x000D_
- The proposal did not make clear  what theoretically significant results or techniques will come out from this work. _x000D_
_x000D_
-The questions look somewhat incremental given the existing literature, some of which are by PI himself._x000D_
_x000D_
-Except for a 2015 paper, the PI's clustering work appears to be at least five years old, so it's unclear the time is ripe for progress. _x000D_
_x000D_
_x000D_
Broader Impact: _x000D_
+ Since unsupervised learning has wide applications in many domains, the algorithms developed in this proposal can have a big impact. _x000D_
_x000D_
+ The project will develop both undergraduate and graduate courses to train students in state of the art in machine learning. _x000D_
_x000D_
+ The PI will disseminate the research in top conference venues and by writing survey articles. _x000D_
_x000D_
+ The PI has given mini courses on Machine Learning to high school students which has attracted undergraduate students to Rutgers. _x000D_
_x000D_
+ The PI is currently supervising two female Ph.D. students who are likely to be supported by this grant. _x000D_
_x000D_
+ The PI is involved in DIMACS REU program, Rutgers young scholars program, and Rutgers China scholars program. He plans to hold regular summer series for dissemination of new results._x000D_
_x000D_
Weaknesses_x000D_
 None_x000D_
_x000D_
Solicitation-specific criteria: _x000D_
The integration of education and research is very well done. _x000D_
_x000D_
Data Management Plan: _x000D_
Adequate _x000D_
_x000D_
What is bold, exciting, high risk/reward, or potentially transformative? _x000D_
_x000D_
Research on provable algorithms for unsupervised learning can have high impact both in theory and practice._x000D_
_x000D_
Justification for Panel Rating: _x000D_
 This is a strong proposal on fundamental advances in unsupervised machine learning with potential to lead to new and robust algorithms with implementations. The educational plan, outreach, and broader impacts are written very well._x000D_
_x000D_
The panel felt the theoretical aspects of the proposal could have been better developed. It was not clear what significant theoretical techniques or breakthroughs can emerge from this work, though overall the panel appreciated the research direction of the proposal.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</si>
  <si>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focus of this proposal is to design provably optimal algorithms_x000D_
for unsupervised learning. The goal is to go beyond _x000D_
beyond the traditional probabilistic models and instead assuming a distributed free approach._x000D_
The proposal will develop algorithmic and mathematical techniques that_x000D_
will lead to a more practical, robust and modern theory of unsupervised learning. The main research directions are:_x000D_
(a) Distribution-free data models and algorithms for generalized clustering problems_x000D_
(b) Design of robust algorithms_x000D_
(c) New mathematical tools for robust analysis_x000D_
(d) Algorithms for learning structure inducing representations_x000D_
_x000D_
_x000D_
Strengths:_x000D_
_x000D_
1.Unsupervised learning is a very important paradigm in machine learning and more promising than supervised learning to scale to big data since there is no external annotation or intervention. However,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learning._x000D_
_x000D_
2. The proposal is very well written and presented. The background, approaches, and problems are clearly stated with a systematic research agenda. _x000D_
_x000D_
3. The PI is very well-qualified to undertake this research with significant prior publications, especially in developing clustering algorithms under distributed-free models which exploit underlying pattern in data  are quite reasonable from theory viewpoint and  seems to capture real-world scenarios as well._x000D_
_x000D_
4. In addition to theory, the project will evaluate the algorithms using real-world data sets._x000D_
_x000D_
Weaknesses: _x000D_
1.  More elaboration  on the technical difficulties and challenges in tackling the proposed problems would have been better._x000D_
_x000D_
_x000D_
In the context of the five review elements, please _x000D_
evaluate the strengths and weaknesses of the proposal with respect to broader impacts._x000D_
_x000D_
Strengths:_x000D_
_x000D_
1.	Since unsupervised learning has wide applications in many domains, the algorithms developed in this proposal can have a big impact._x000D_
_x000D_
2.	The project will develop both undergraduate and graduate courses to train students in state of the art in machine learning._x000D_
_x000D_
3.	The PI will disseminate the research in top conference venues and by writing survey articles._x000D_
_x000D_
4.	The PI has given mini courses on Machine Learning to high school students which has attracted  undergraduate students to Rutgers._x000D_
_x000D_
5.	The PI is currently supervising two female Ph.D. students who are likely to be supported by this grant._x000D_
_x000D_
Weaknesses:_x000D_
_x000D_
None._x000D_
_x000D_
_x000D_
_x000D_
_x000D_
Please evaluate the strengths and _x000D_
weaknesses of the proposal with respect to any additional solicitation-specific review criteria, if _x000D_
applicable_x000D_
_x000D_
The education and research are very well integrated._x000D_
_x000D_
Summary Statement_x000D_
_x000D_
This is a strong proposal on fundamental advances in unsupervised machine learning with clear research agenda supported by prior work of the PI. It has potential to lead to new and robust algorithms with  implementations. The educational plan, outreach, and broader impacts are written very well._x000D_
_x000D_
</t>
  </si>
  <si>
    <t xml:space="preserve">In the context of the five review elements, please _x000D_
evaluate the strengths and weaknesses of the proposal with respect to intellectual merit._x000D_
_x000D_
Proposed to work on robust algorithms for unsupervised learning, making use of weaker notions of implicit structure.  Progress in this area will be important.  Proposes interesting and motivated models for designing robust learning algorithms.  The models appear to be novel. Suggests modifications of well-known algorithms that would make them robust._x000D_
PI has made good progress along these lines and will likely make_x000D_
more progress._x000D_
_x000D_
In the context of the five review elements, please _x000D_
evaluate the strengths and weaknesses of the proposal with respect to broader impacts._x000D_
_x000D_
high school outreach_x000D_
undergrad research_x000D_
workshops_x000D_
surveys_x000D_
_x000D_
_x000D_
Please evaluate the strengths and _x000D_
weaknesses of the proposal with respect to any additional solicitation-specific review criteria, if _x000D_
applicable_x000D_
_x000D_
_x000D_
_x000D_
Summary Statement_x000D_
_x000D_
+ important area and proposes good questions which he is likely to make progress on_x000D_
+ good outreach_x000D_
_x000D_
</t>
  </si>
  <si>
    <t xml:space="preserve">In the context of the five review elements, please _x000D_
evaluate the strengths and weaknesses of the proposal with respect to intellectual merit._x000D_
_x000D_
The proposal aims to develop a new approach for unsupervised learning with provable guarantees. _x000D_
_x000D_
First, developing on PI's own work, generalized clustering problems on realistic data model that has weak deletion stability or is perturbation resilient will be studied.  Generalized clustering problem includes problems of community detection, sparse coding, normal data clustering, topic modeling etc. The PI argues that models that are distribution free but have these additional deterministic conditions are practically useful and yet amenable to algorithm design. _x000D_
_x000D_
Second, the PI will study developing robust algorithms for generalized clustering problems as well as other important unsupervised learning algorithms when the model may be misspecified or there could be large amount of noise in data. The connection to semi random model will be explored. _x000D_
_x000D_
Finally, optimal algorithms for unsupervised learning rely on exploiting mathematical structure that is present in real world data. The PI will investigate linear programming based techniques to detect presence of any such structure in data._x000D_
_x000D_
Summary of strength and weakness: The questions posed in this proposal are practically important. The PI has done a lot of work in this area._x000D_
_x000D_
It is not clear what theoretically significant results or techniques will come out from this work. The questions look incremental given the existing literature._x000D_
_x000D_
In the context of the five review elements, please _x000D_
evaluate the strengths and weaknesses of the proposal with respect to broader impacts._x000D_
_x000D_
Broader impact is well-written and the PI is involved in DIMACS REU program, Rutgers young  scholars program, integrating data science into K12 curriculum etc. The PI is also a member of Rutgers China scholars program, and plans to hold regular summer series for dissemination of new results._x000D_
_x000D_
Please evaluate the strengths and _x000D_
weaknesses of the proposal with respect to any additional solicitation-specific review criteria, if _x000D_
applicable_x000D_
_x000D_
_x000D_
_x000D_
Summary Statement_x000D_
_x000D_
In summary, the proposal plans to extend the literature on unsupervised learning and develop provably optimal algorithms with minimal assumptions on data. While, the developed algorithms could be of practical interest, it is not clear how significant the results will be from theoretical point of view._x000D_
_x000D_
</t>
  </si>
  <si>
    <t xml:space="preserve">In the context of the five review elements, please _x000D_
evaluate the strengths and weaknesses of the proposal with respect to intellectual merit._x000D_
_x000D_
Proposes to study unsupervised learning under distribution-free or deterministic data models. One focus is clustering, where the PI showed in a FOCS 2010 paper that a property called weak deletion stability implies a polynomial time approximation scheme (PTAS). The PI seeks robust algorithms, including using a semi-random model, which is interesting but no longer deterministic._x000D_
_x000D_
A weakness of the proposal is that except for a 2015 paper, the PI's clustering work appears to be at least five years old, so it's unclear the time is ripe for progress.  While the PI publishes regularly in COLT, the PI has only two STOC/FOCS papers (in 2014 and 2010)._x000D_
_x000D_
In the context of the five review elements, please _x000D_
evaluate the strengths and weaknesses of the proposal with respect to broader impacts._x000D_
_x000D_
The PI proposed to do curriculum development and outreach._x000D_
_x000D_
Please evaluate the strengths and _x000D_
weaknesses of the proposal with respect to any additional solicitation-specific review criteria, if _x000D_
applicable_x000D_
_x000D_
_x000D_
_x000D_
Summary Statement_x000D_
_x000D_
An interesting proposal about unsupervised learning. However, the PI's track record doesn't seem quite as strong as other applicants._x000D_
_x000D_
</t>
  </si>
  <si>
    <t>The goal of this proposal is to develop a new approach towards designing provably optimal algorithms for unsupervised learning. Traditional unsupervised models are grounded in probability theory and view a given data set as a realization from an idealized probabilistic process. In addition to being an oversimplification of real world data, this approach often leads to algorithms that break down or are poorly understood beyond the specific model. This leads to two fundamental challenges in the current theory and practice of unsupervised learning a) algorithms with theoretical guarantees that apply to realistic data models}, and b) algorithms that are not brittle to modeling assumptions and noise in the data}. _x000D_
_x000D_
The proposal will address these challenges and develop algorithmic and mathematical techniques that will lead to a more practical, robust and modern theory of unsupervised learning. We plan to carry out our research agenda along the following directions: (a) Distribution-free data models and algorithms for generalized clustering problems, (b) Design of robust algorithms, (c) New mathematical tools for robust analysis, (d) Algorithms for learning structure inducing representations, and (e) Education and Outreach.The proposed research aims to develop a robust and modern theory of unsupervised learning. A central theme is to investigate a previously untapped notion of exploiting implicit structure present in the data that is not tied to a specific distribution. The proposal demonstrates how this approach can lead to new algorithms, robustness to model misspecification, and learning useful representations of the data. Achieving the goals of the proposal will involve developing novel algorithmic techniques and a new set of mathematical tools for robust analysis of algorithms. The advances made will likely have applications beyond in other areas of computer science and mathematics.The proposed research tackles fundamental challenges in unsupervised learning. Given the pervasiveness of the paradigm, the algorithms developed as a part of this proposal can significantly improve the _x000D_
state of the art in machine learning thus impacting many domains. The course material developed during this project will educate the students and the community at large about the challenging research questions in this field and will lead to an increased activity in theoretical research in this direction. The educational component of the proposal will train the next generation of students in critical skills needed to perform cutting edge research. Furthermore, the PI plans to pursue various other activities for dissemination of the conducted research including holding a workshop on Challenges in unsupervised learning at top venues such as NIPS and COLT. The PI also plans to write a survey on deterministic data models for unsupervised learning.</t>
  </si>
  <si>
    <t>1750716</t>
  </si>
  <si>
    <t>Nguyen</t>
  </si>
  <si>
    <t xml:space="preserve"> Panel Summary       
 Description:_x000D_
_x000D_
The PI proposes novel work on sketches, namely data structures that support updates to the underlying data and a pre-specified set of queries, while requiring significantly less space than the size of the original data. The PI proposes to investigate sketches in the following three directions: (i) investigate the time complexity (i.e., the querying time) of linear sketches; (ii) investigate the space complexity of linear sketches; and (iii) investigate sketching in the distributed setting and especially its applications for submodular optimization._x000D_
_x000D_
Intellectual Merit:_x000D_
_x000D_
Strengths_x000D_
  + Well-written proposal, posing deep technical questions and possible approaches to tackle them. Advances in addressing these will significantly advance our knowledge of sketching and its applications._x000D_
  + Very strong PI with significant amount of prior work in the area of the proposal._x000D_
_x000D_
Weaknesses_x000D_
  - Some references might have been added to the proposal; however the panelists agreed that this omission was not a major issue. _x000D_
  - The part of the proposal discussing mapreduce was not as well thought as the remainder of the proposal._x000D_
 _x000D_
Broader Impact:_x000D_
_x000D_
Strengths_x000D_
  + Reasonable teaching plan._x000D_
  + Improving the quality of sketching could result in significant advances in domains where sketching algorithms are used (e.g., big data analytics)._x000D_
_x000D_
Weaknesses_x000D_
  - The broader impacts section was relatively sketchy and more details could have been included (e.g., involvement of under-represented minorities, etc.)._x000D_
  - Some panelists noted that the PI should include a plan for outreach to communities beyond theoretical computer science, as his research is immediately relevant to the machine learning and data mining communities._x000D_
_x000D_
Solicitation-specific criteria:_x000D_
_x000D_
The panel concurred that the integration of education and research was reasonable. The PI will develop graduate and undergraduate courses related to his research as well as write survey articles to disseminate his research to a wider audience. _x000D_
_x000D_
Data Management Plan:_x000D_
_x000D_
The data management plan was deemed adequate by the panel._x000D_
_x000D_
What is bold, exciting, high risk/reward, or potentially transformative?_x000D_
_x000D_
If the PI succeeds in his theoretical endeavors on sketching, it is highly probably that new tools will be developed in the process of proving the proposed results; these tools could be transformative from a theoretical computer science perspective._x000D_
_x000D_
Suggestions to PI: Better outreach plans and a more detailed broader impacts component could help improve the proposal._x000D_
_x000D_
Justification for Panel Rating: A very strong proposal (especially from an intellectual merit perspective) focusing on sketches, a hot topic in theoretical computer science with significant applicability in machine learning and data mining. The PI is a leading expert in this area and has a particularly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</si>
  <si>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A solid theoretical proposal on sketching algorithms. The PI intends to focus on three theoretical research directions: time complexity of sketching (in the turnstile model), mergeable sketches, and space complexity of sketching, addressing open problems that go back to the original pioneering work by Alon et al. on moment estimation. The PI is a very promising young researcher in the theory domain and he almost certainly deliver novel theoretical results._x000D_
_x000D_
In the context of the five review elements, please _x000D_
evaluate the strengths and weaknesses of the proposal with respect to broader impacts._x000D_
_x000D_
However, I am not convinced regarding the true impact of the proposed research outside a subset of the Theoretical Computer Science community. I would like to see more bridges with more applied communities that are often consumers of such tools as well as the applied mathematics communities. Such bridges are essentially non-existent in the proposal (the PI simply mentions some work towards that end with colleagues at NEU). Without such broader impact activities the overall impact of the proposed research, even if it is successful, will be very limited. The educational broader impacts of this proposal are average, at best._x000D_
_x000D_
Please evaluate the strengths and _x000D_
weaknesses of the proposal with respect to any additional solicitation-specific review criteria, if _x000D_
applicable_x000D_
_x000D_
See above discussion._x000D_
_x000D_
Summary Statement_x000D_
_x000D_
A solid theoretical proposal with very good intellectual merit from a theoretical computer science perspective. Limited potential for broader impact, which significantly mitigates the merits of the proposed work._x000D_
_x000D_
</t>
  </si>
  <si>
    <t>KT0605710</t>
  </si>
  <si>
    <t>Garg</t>
  </si>
  <si>
    <t>garg@ece.utexas.edu</t>
  </si>
  <si>
    <t xml:space="preserve">In the context of the five review elements, please _x000D_
evaluate the strengths and weaknesses of the proposal with respect to intellectual merit._x000D_
_x000D_
Strengths:_x000D_
The PI has proposed to investigate the theory of sketches. Sketches have many practical applications in the area of streaming algorithms. The proposed tasks include exploring time complexity, space complexity with connections to compressed sensing,_x000D_
and mergeable summaries with applications to distributed environments._x000D_
_x000D_
The PI has proposed concrete research problems with fundamental implications in multiple areas. One of the key strength of this proposal is that it studies problems that have applications in practical setting such as sketching in distributed environments with map-reduce style models._x000D_
_x000D_
For heavy hitters problem, the PI has given an algorithm with fast query time_x000D_
based on a graph partitioning approach. It is likely that algorithms that use heavy-hitters as subroutine will benefit from the PI's insights._x000D_
_x000D_
The PI has excellent track record with strong publications in top conferences._x000D_
_x000D_
There are adequate resources available to PI._x000D_
_x000D_
Weaknesses:_x000D_
_x000D_
PI has listed two additional pending proposals in the Current and Pending Support form. In the project description, only one of them is mentioned. The relationship with the other proposal is not given. From the title, it does seem that the other proposal is synergistic for distributed optimization algorithms._x000D_
_x000D_
_x000D_
In the context of the five review elements, please _x000D_
evaluate the strengths and weaknesses of the proposal with respect to broader impacts._x000D_
_x000D_
Strengths:_x000D_
_x000D_
The project is likely to have practical impact on sketching and submodular optimization._x000D_
_x000D_
The PI will involve students in theory as well as software development._x000D_
_x000D_
Please evaluate the strengths and _x000D_
weaknesses of the proposal with respect to any additional solicitation-specific review criteria, if _x000D_
applicable_x000D_
_x000D_
_x000D_
_x000D_
Summary Statement_x000D_
_x000D_
The proposal is well-written and advances our knowledge and understanding with benefits to the society._x000D_
_x000D_
</t>
  </si>
  <si>
    <t xml:space="preserve">In the context of the five review elements, please _x000D_
evaluate the strengths and weaknesses of the proposal with respect to intellectual merit._x000D_
_x000D_
Summary: Sketches are data structures that support updates to the underlying data and a pre-specified set of queries while requiring significantly less space than the size of the original data.  This proposal investigates sketches in the following three directions:_x000D_
_x000D_
1.	Investigate the time complexity (i.e., the querying time)  of  linear sketches._x000D_
_x000D_
2.	Space complexity of linear sketches._x000D_
_x000D_
3.	Sketching in distributed setting, especially for submodular optimization._x000D_
_x000D_
_x000D_
Strengths:_x000D_
_x000D_
1.	The proposal is written very well and presented.  It poses  deep technical questions and possible approaches to tackle the same. Advances in addressing these will significantly advance our knowledge of sketches and its applications._x000D_
_x000D_
2.	 The PI has done substantial work in this area and capable of tackling the challenging problems posed. In particular, the project seeks to improve the time complexity of querying in sketches which has been rather ignored in the past (where the focus has mostly been on space complexity). This is an important aspect and  PI's recent work gives the first algorithm for heavy hitters with optimal space and fast query time. This can be useful in designing efficient sketches for graph sparsifiers and sparse recovery. _x000D_
_x000D_
3.	Sparse recovery is an important and fundamental problem. The proposal proposes improving the time complexity and space complexity of sketches._x000D_
_x000D_
Weaknesses:_x000D_
_x000D_
1.	The proposal omits some key references in  submodular optimization and sketching in distributed computing and machine learning literature. It should address and discuss these as well, e.g., see below and the references therein:_x000D_
_x000D_
a.	Distributed and parallel algorithms for weighted vertex cover and other covering problems, PODC, 2009._x000D_
b.	Distributed Submodular Optimization, JMLR 2016._x000D_
c.	Fast Distributed Algorithms for connectivity and MST in large graphs, SPAA 2016._x000D_
_x000D_
_x000D_
In the context of the five review elements, please _x000D_
evaluate the strengths and weaknesses of the proposal with respect to broader impacts._x000D_
_x000D_
Strengths:_x000D_
_x000D_
1.	Good education plan._x000D_
_x000D_
2.	Sketches have applications, including in industry, and this proposal can have an impact._x000D_
_x000D_
3.	The PI plans to collaborate with applied researchers._x000D_
_x000D_
4.	The PI has been an editor for XRDS, an ACM student magazine and will contribute to popularize sketches and related material._x000D_
_x000D_
Weaknesses:_x000D_
1. The Broader impact is pretty sketchy and short, could have been elaborated with details._x000D_
_x000D_
_x000D_
_x000D_
_x000D_
Please evaluate the strengths and _x000D_
weaknesses of the proposal with respect to any additional solicitation-specific review criteria, if _x000D_
applicable_x000D_
_x000D_
Integration of education and research is adequate._x000D_
_x000D_
Summary Statement_x000D_
_x000D_
This is a very strong project focusing on sketches, a hot topic  of  late. It lays out a strong research agenda  backed up by significant  work by the PI. I expect strong publications to come out of this._x000D_
_x000D_
</t>
  </si>
  <si>
    <t xml:space="preserve">In the context of the five review elements, please _x000D_
evaluate the strengths and weaknesses of the proposal with respect to intellectual merit._x000D_
_x000D_
The PI proposes compelling questions including: the time complexity of sketching, sketching of graph sparsifiers (in particular, better query complexity), sparse recovery, streaming lower bounds, the realm of mergeable sketches and sketching in distributed environments. The PI suggests a number of plans of attack and has a number of results in these directions._x000D_
_x000D_
PI has very strong track record, solving long studied open questions and applying his techniques to very powerful classes of problems (i.e., submodular maximization)._x000D_
_x000D_
In the context of the five review elements, please _x000D_
evaluate the strengths and weaknesses of the proposal with respect to broader impacts._x000D_
_x000D_
The algorithms studied in this proposal are useful in industrial settings (e.g. by Google)._x000D_
_x000D_
Will work with researchers in vision, NLP, network security and Database systems._x000D_
_x000D_
Please evaluate the strengths and _x000D_
weaknesses of the proposal with respect to any additional solicitation-specific review criteria, if _x000D_
applicable_x000D_
_x000D_
_x000D_
_x000D_
Summary Statement_x000D_
_x000D_
+ important research area_x000D_
+ very strong track record_x000D_
+ good outline of how the PI will make progress_x000D_
_x000D_
</t>
  </si>
  <si>
    <t>The unprecedented growth of new data has pushed computer systems to their limits in not only storage capacity but also communication bandwidth and computational power. A fundamental challenge underlying these constraints is the need for {\em suitable representations} of the data that facilitate efficient computation and are sufficiently compact for storage and communication. These representations, or {\em sketches}, are data structures that support updates to the underlying data and a pre-specified set of queries while requiring significantly less space than the size of the original data. This proposal aims to address fundamental gaps in our understanding of sketches by pursuing the following goals: _x000D_
_x000D_
- Investigate {\em linear sketches}, a universal form of sketches for turnstile streaming algorithms in a broad class of problems and also applicable to classical algorithms as well as distributed algorithms. The proposal focuses on fundamental questions regarding time complexity of sketches in both upper and lower bounds._x000D_
	_x000D_
- {\em Space complexity} of linear sketches in sparse recovery. Linear sketches are precisely the linear measurements used to recover signals in the flourishing area of compressed sensing[CRT06,Donoho06]. The fundamental challenge in this area is to use as few measurements as possible, which is exactly the space complexity of linear sketches. The PI proposes to study this question with respect to several different recovery guarantees._x000D_
_x000D_
- Develop {\em new forms of sketches} for abstract objects and distributed environments. To this end, the proposal considers sketching for submodular functions, a popular model for machine learning, computer vision, economics, etc. Problems in these applications are modeled as submodular maximization subject to various types of constraints.The proposal will lead to deeper understanding and novel algorithms for fundamental problems in streaming algorithms, compressed sensing, and submodular optimization. The proposed research is of interest to not only theoretical computer science but also databases and machine learning, combining theoretical insights with computational models relevant to applications. The proposal builds on techniques from a wide variety of areas including analysis, information theory, coding theory, combinatorics, and optimization, and it can lead to novel connections among them. As an example, the PI's work with Garg et al.[GMN14,BGMNW16] uses techniques from information theory and communication complexity to tackle problems in distributed machine learning.Work produced through this project is likely to have practical impact due_x000D_
to the extensive use of sketching and submodular optimization in applications[LDP07,TZ12,Bilmes15,ELVZ17]. Investigation of large scale submodular optimization is especially timely given the growth in data size and it has attracted significant attention in the machine learning community[KG10,BMKK14,MKBK15,LBZK16]. The students supported by the project and the PI will actively pursue research in both theory and applications, publishing in both theory and machine learning venues, and broadly disseminate research outcomes by giving talks at universities, industrial labs, research conferences, and tutorial sessions. 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 The PI will also write survey articles aimed at broad audiences and also beginning theory graduate students.</t>
  </si>
  <si>
    <t>1750808</t>
  </si>
  <si>
    <t>Haeupler</t>
  </si>
  <si>
    <t xml:space="preserve"> Panel Summary       
 Description: This proposal is about interactive coding. The broad problem here is to convert any given interactive communication protocol into one that is resilient to transmission errors, while preserving its functionality. The proposal discusses problems that are related to this basic goal. The PI has written many papers on the subject and seems well placed to make further progress. The goals outlined in the proposal are certainly worthy of support. _x000D_
_x000D_
Strengths_x000D_
The PI has a significant track record of success in this area._x000D_
Getting explicit construction of tree-codes or efficient decoding algorithms will be significant contributions. _x000D_
The interaction of interactive coding and crypto is very important._x000D_
It seems that in [GHS14] and [GH14], the PI has already answered many fundamental questions on interactive coding._x000D_
_x000D_
Weaknesses_x000D_
Other proposals for tree codes based on Reed-Solomon codes have been around, and it's very unclear that this proposal is any more likely to admit a proof of correctness than any of the others. _x000D_
The panel did not find the connection to boolean circuits as described in the proposal  convincing. There are some technical issues with finding circuits resilient to short-circuit errors by solving the corresponding communication problem that were not addressed in the proposal.  The PI explains that solving this problem is similar to finding error-resilient versions of protocols with small memory usage. However, every Karchmer-Wigderson game has a logarithmic complexity randomized communication protocol---the randomized complexity of solving Karchmer-Wigderson games says nothing about circuits. Nevertheless, a lot of interactive coding schemes designed by the PI are randomized. Secondly, every Karchmer-Wigderson game for n-bit inputs has a deterministic protocol with O(n) memory states (and O(n) communication) that solves the game. So again, the number of memory states used to solve the game is unrelated to the size of the circuit. The proposal does not address these technical barriers._x000D_
_x000D_
Broader Impact: _x000D_
The PI has a detailed plan for course development, undergraduate/graduate research, and involving underserved minorities. The PI is involved in an effort to reform the interdisciplinary ACO program at his institution. The PI has made significant efforts to increasing female participation in the ICPC programming contests, has a very strong track record of advising graduate students, and has organized tutorials, workshops and a Simons program._x000D_
_x000D_
_x000D_
Solicitation-specific criteria: _x000D_
The proposal targets teaching, advising, involving students from underrepresented groups, interdisciplinary education, and tutorials at workshops. The PI already has a strong track record on many of these issues._x000D_
_x000D_
Data Management Plan: adequate_x000D_
_x000D_
_x000D_
Justification for Panel Rating: _x000D_
The PI has a very strong track record of past work. This proposal was rated low competitive because of the weaknesses in the discussion of the connections between circuits and communication protocols. The proposal would be higher rated if the proposal contained more details about this direction. _x000D_
_x000D_
Panel Rating: _x000D_
_ Highly Competitive_x000D_
_ Competitive_x000D_
X Low Competitive_x000D_
_ Not Competitive_x000D_
_x000D_
The summary was read by/to the panel and the panel concurred that the summary accurately reflects_x000D_
the panel discussion._x000D_
</t>
  </si>
  <si>
    <t xml:space="preserve"> Panel Summary       
  The proposal focuses on the problem of error correction for interactive communication over noisy channels (e.g., in order to execute protocols). The communication is done over very short messages, so the conventional error correction doesn't work. Hence, the project aims at developing a new approach for this problem._x000D_
_x000D_
INTELLECTUAL MERIT _x000D_
_x000D_
  Strengths:_x000D_
_x000D_
+ The topic is theoretically interesting and very challenging. Some of the problems discussed in the proposal are long standing open problems._x000D_
_x000D_
+ The proposal is ambitious and a series of challenging problems are proposed. The research plan is also well articulated._x000D_
_x000D_
+ There are several new and exciting ideas proposed, for example the issue of memory blow-up in error-resilient circuits is novel and exciting._x000D_
_x000D_
+ The PI is well qualified and has an excellent track record._x000D_
_x000D_
_x000D_
  Weaknesses:_x000D_
_x000D_
- The PI is considering challenging problems, however for some of them an approach to attack them is not discussed. For example, building a practical tree code is a very interesting open problem, but how does the PI plan to approach it?_x000D_
_x000D_
- The practical impact and motivation of the work could have been better articulated._x000D_
_x000D_
BROADER IMPACTS_x000D_
_x000D_
  Strengths:_x000D_
_x000D_
+ The broader impact section of the proposal is novel, and several creative methods for education and mentoring are proposed._x000D_
_x000D_
+ The plan for involvement of the undergraduate students is appreciated by the panel._x000D_
_x000D_
+ Joint activities to bring information theorists and computer scientists together are valuable. _x000D_
_x000D_
Weaknesses:_x000D_
_x000D_
- While the panel appreciates the details discussed in the broader impact section, a more balanced allocation of the 15-page budget between research plan and educational activities would have allowed the PI to provide further details on the technical approach to the problem._x000D_
_x000D_
SOLICITATION-SPECIFIC CRITERIA_x000D_
_x000D_
The scope of the proposal is quite ambitious and well suited for a 5-year award. The education and research activities are well integrated._x000D_
_x000D_
SUMMARY_x000D_
_x000D_
The proposal focuses on a series of challenging and important problems in the area of interactive communication over noisy channel. An ambitious research plan is proposed and the PI is well qualified. The broader impact section of the proposal is novel, and several creative methods for education and mentoring are proposed. _x000D_
_x000D_
The panel placed the proposal in the following category:_x000D_
[X ] Highly Competitive_x000D_
[ ] Competitive_x000D_
[ ] Low Competitive_x000D_
[ ]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</si>
  <si>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PI proposes to develop error correcting codes for communication that takes place over many interleaved rounds of interactive communication, which are interspersed with computations. This is an important engineering problem at the interface of electrical engineering and theoretical computer science. It is not possible to simply apply classical asymptotic results because the messages involved in interactive communication can be very short._x000D_
_x000D_
In joint work with Ghaffari and Sudan, the PI has determined, for various settings, the exact tolerable error rates up to which interactive communication can be maintained. There is still quite a different with the tight classical tradeoff between rate and distortion, but it is a significant result nonetheless. _x000D_
_x000D_
The proposed research program is organized into four directions. The problem of explicitly constructing tree codes, and that of deriving the fundamental tradeoff between rate and distortion, are recognized as fundamental and very difficult. The relationship between small circuits that are robust to gate failures and the memory efficiency of interactive communication is very interesting. Finally the whole area of cryptographic protocols and the privacy / utility tradeoff is full of interesting problems._x000D_
_x000D_
_x000D_
In the context of the five review elements, please _x000D_
evaluate the strengths and weaknesses of the proposal with respect to broader impacts._x000D_
_x000D_
The PI proposes to redesign and redevelop Great Theoretical Ideas in Theoretical Computer Science which is a signature sophomore course at CMU, attracting around 200 students per semester. He is experimenting with alternatives to traditional homework assignments, where students develop group solutions, but are responsible for writing down individual answers to a subset of questions in a proctored limited time session. He is also experimenting with conceptual office hours where TAs discuss concepts from lectures rather than homework problems. He works with the Eberly Center for Teaching Excellence and Educational Innovation to incorporate best practices into his teaching._x000D_
_x000D_
The PI has designed a new graduate course, Algorithmic Superpower: Randomization, aimed at advanced undergraduates and beginning graduate students, which includes a module on interactive communication. He intends to develop a second course with Venkat Guruswami that will connect classical information theory and coding with computational complexity. The PI has also redesigned the Algorithms, Combinatorics and Optimization graduate program, leading to a renewal of CS interest in interdisciplinary work involving the mathematical sciences._x000D_
_x000D_
The PI involves undergraduates in his research program, and works closely with CMU programming contest team which advanced to the World Finals in 2016. He is involved with PhD admissions at CMU, and has introduced best practices that create a more welcoming environment for women. It is remarkable that two out of three undergraduates on the CMU programming team were female, when there were only five women among the remaining 400 finals participants. _x000D_
_x000D_
The PI promotes engagement between the information theory and theoretical computer science communities by organizing workshops. He has organized special sessions at Allerton and ITW, a semester long program at the Institut Henri Poincare, and is planning a second semester long program on distributed computing at the Simons Institute in Berkeley._x000D_
_x000D_
_x000D_
Please evaluate the strengths and _x000D_
weaknesses of the proposal with respect to any additional solicitation-specific review criteria, if _x000D_
applicable_x000D_
_x000D_
_x000D_
_x000D_
Summary Statement_x000D_
_x000D_
Intellectual Merit: Excellent_x000D_
Broad Impact: Excellent_x000D_
_x000D_
</t>
  </si>
  <si>
    <t xml:space="preserve">In the context of the five review elements, please _x000D_
evaluate the strengths and weaknesses of the proposal with respect to intellectual merit._x000D_
_x000D_
Strengths:_x000D_
The proposal seeks to develop a theory for correcting errors in interactive communication (analogous to Shannon's theory for one-way communication)._x000D_
The PI has already made significant contributions to this area. He is uniquely qualified to do the proposed research. It seems that in [GHS14] and [GH14], he has already answered many fundamental questions on interactive coding._x000D_
_x000D_
Getting explicit construction of tree-codes or efficient decoding algorithms (analogous to Berlekamp-Massey decoding algrothm for RS codes) will be significant contributions._x000D_
_x000D_
This is a well-written proposal. The PI is extremely capable and has more than adequate resources to carry out the proposed activities._x000D_
_x000D_
_x000D_
_x000D_
_x000D_
In the context of the five review elements, please _x000D_
evaluate the strengths and weaknesses of the proposal with respect to broader impacts._x000D_
_x000D_
Strengths:_x000D_
The proposed project will have impact on multiple areas including cryptography and distributed machine learning._x000D_
_x000D_
The PI is passionate teacher in addition to a stellar researcher. The project will_x000D_
help in development of new course material._x000D_
_x000D_
The PI has proactively reached out to students from underrepresented groups._x000D_
_x000D_
Weaknesses:_x000D_
The PI is already supervising six Ph.D. students. Will he have the bandwidth to supervise additional students? Presumably, the project will support these existing students rather than new students._x000D_
_x000D_
Please evaluate the strengths and _x000D_
weaknesses of the proposal with respect to any additional solicitation-specific review criteria, if _x000D_
applicable_x000D_
_x000D_
_x000D_
_x000D_
Summary Statement_x000D_
_x000D_
Excellent proposal._x000D_
_x000D_
</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</si>
  <si>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The scope of the proposal is quite ambitious. The PI mentions that what he has described in the proposal is only a fraction of what he intends to explore in this area_x000D_
-	The PI has a well thought out research agenda_x000D_
-	The work on error-resilient circuits and the issue of memory blow-up is a very interesting one that had hitherto not been explored_x000D_
-	The cryptography application, whether it is through the design of stronger cryptographic primitives, or strong error-correcting codes, is very interesting_x000D_
_x000D_
_x000D_
Weaknesses _x000D_
_x000D_
-	The extensive (more than five pages) material devoted to broader impacts is commendable, but it does detract from the main technical part of the proposal. (There really is no need to include the names of  all the undergraduate students involved, and such other details, etc.)_x000D_
-	The two main thrusts of the proposal (explicit design of tree codes in section 2.4 and fundamental limits in section 2.5) would have benefited from more detail. These are well recognized to be the main challenges in the field. However, section 2.5 contained no new idea and the Reed-Solomon-like code proposal for tree codes seemed very preliminary and somewhat na´ve._x000D_
_x000D_
_x000D_
_x000D_
_x000D_
In the context of the five review elements, please _x000D_
evaluate the strengths and weaknesses of the proposal with respect to broader impacts._x000D_
_x000D_
Strengths _x000D_
_x000D_
-	Excellent educational program: sophomore level course on "Great Theoretical Ideas in Theoretical Computer Science", new graduate courses, PI has twice participated workshops at the Eberly Center at CMU, _x000D_
-	PI has involved undergraduate students in his research and has co-coached CMU's team at the AMC ICPC contest_x000D_
-	PI has involved under-represented groups in his research_x000D_
-	The PI has a leadership role in the interdisciplinary ACO program at CMU_x000D_
-	The PI is very active in organizing workshops, giving tutorials and in other outreach efforts_x000D_
_x000D_
_x000D_
Weaknesses _x000D_
_x000D_
-	None._x000D_
_x000D_
_x000D_
Please evaluate the strengths and _x000D_
weaknesses of the proposal with respect to any additional solicitation-specific review criteria, if _x000D_
applicable_x000D_
_x000D_
_x000D_
_x000D_
Summary Statement_x000D_
_x000D_
This proposal deals with the problem of error correcting coding for interactive communications. It has four main thrusts, the explicit design of efficiently encodable and decodable tree codes, the study of the fundamental limits of interactive communication over noisy channels, as well as applications to error-resilient circuits and cryptography._x000D_
_x000D_
</t>
  </si>
  <si>
    <t xml:space="preserve">In the context of the five review elements, please _x000D_
evaluate the strengths and weaknesses of the proposal with respect to intellectual merit._x000D_
_x000D_
This career development plan aims at developing a theory and methods for correcting errors in interactive communications. The proposal's scope is broad, the projected outcome are of significant impact, and the PI's record in the area is extremely promising. In particular, the PI envisions addressing the following problems: _x000D_
_x000D_
1. the connection between resilient circuits and interactive communication. _x000D_
_x000D_
--&gt; The PI has interesting preliminary work here that grounds his proposed work in specific successes and methods. _x000D_
_x000D_
2. iterative coding and cryptographic protocols over networks w loss. _x000D_
_x000D_
---&gt; Here the PI suggests activities both for developing stronger crypto solutions that are robust to network failures and loss and also for improving the communications bounds for knowledge preserving signature schemes. The PIs preliminary work in this area is well explained and suggests a positive way forward. _x000D_
_x000D_
3) tree code construction. _x000D_
_x000D_
--&gt; This is an intellectually ambitious specific aims. Both stated objectives are known to be extremely challenging. The PI has some lead based on RS codes' algebraic construction and properties. The ideas are fresh but the PI admits that more sophisticated machinery might be needed.  Here, I believe, making connection to the practical codes developed by Hassibi et al on the topic would be beneficial. _x000D_
_x000D_
4) fundamental limits of interactive communications. _x000D_
_x000D_
--&gt; The statement of the objective is extremely ambitious as mentioned by the PI. Instead smaller more attainable asymptotic analysis is discussed. The questions are well motivated and the approach seems likely to succeed. _x000D_
_x000D_
The write up at points becomes too grandiose and unfocused but specifying the objectives and prior work's specific findings makes the case for each specific aim clear and easier to assess. That being said, at many places, the objectives seem to be somewhat disconnected. _x000D_
_x000D_
The PI has an excellent record and is well-positioned to conduct the proposed research._x000D_
_x000D_
In the context of the five review elements, please _x000D_
evaluate the strengths and weaknesses of the proposal with respect to broader impacts._x000D_
_x000D_
The proposal has a very good and solid educational component integrating the PI's teaching/mentoring/advising both at the undergraduate and graduate levels. The PI also has a strong interest and record in broadening the participation and addressing implicit bias. The PI also has an excellent record of organizing workshops and tutorials as well as service to the community._x000D_
_x000D_
Please evaluate the strengths and _x000D_
weaknesses of the proposal with respect to any additional solicitation-specific review criteria, if _x000D_
applicable_x000D_
_x000D_
_x000D_
_x000D_
Summary Statement_x000D_
_x000D_
In summary, this is an extremely intellectually ambitious program with potentially significant impact. The area of research is not as exciting to me as I believe practically distributed computation has gone away from the theoretically questions posed regarding minimizing rate of interactions. In fact, in the intersection of coding theory and distributed computing, the problem of coded computation and parallelization seem to be of far more practical relevance.  The PI is well positioned to address many of the problems specified. If successful, he will for sure put himself in a leadership position in the area of interactive communication for years to come._x000D_
_x000D_
</t>
  </si>
  <si>
    <t xml:space="preserve">In the context of the five review elements, please _x000D_
evaluate the strengths and weaknesses of the proposal with respect to intellectual merit._x000D_
_x000D_
The proposed activity aims to develop theory and techniques for interactive communication, where two-way communication on noisy channels occurs between two agents that wish to compute functions that depend on both their data. In this setting, Shannon type coding utilizing long codewords is not appropriate, and new approaches are called for. The proposed work has four thrusts: (i) explicit construction of tree codes, (ii) exploring fundamental tradeoff of rate and error, (iii) applications in memory-resilient circuits, and (iv) application in cryptography._x000D_
_x000D_
Strengths:_x000D_
_x000D_
+ The introduction of the research area, a cross section of its literature and some of its open problems, are nicely done._x000D_
_x000D_
+ The PI is well qualified for research in this area, evidenced by preliminary results._x000D_
_x000D_
+ Research questions are related to deep problems in theoretical computer science as well as emerging applications._x000D_
_x000D_
+ The proposed research involves creative and original concepts, and is well organized._x000D_
_x000D_
+ The outlining of a reasonable angle of attack, especially on difficult problems (e.g., Question 7) gives the proposal credibility._x000D_
_x000D_
_x000D_
In the context of the five review elements, please _x000D_
evaluate the strengths and weaknesses of the proposal with respect to broader impacts._x000D_
_x000D_
Strengths:_x000D_
_x000D_
+ The course development plan ties research with education._x000D_
_x000D_
+The undergraduate involvement is nice. Is the track record in this area related to PI's preliminary results in the research area of this proposal?_x000D_
_x000D_
+The efforts in recruiting under-represented groups, and leveraging CMU's existing infrastructure in that respect, are positive aspects of the activity._x000D_
_x000D_
Weaknesses:_x000D_
_x000D_
-The educational activities could have been better tied with the research topic of the proposed activity._x000D_
_x000D_
_x000D_
Please evaluate the strengths and _x000D_
weaknesses of the proposal with respect to any additional solicitation-specific review criteria, if _x000D_
applicable_x000D_
_x000D_
+ The scope of the project is compatible with its 5-year duration._x000D_
+The research and educational parts of the proposal are related._x000D_
+The departmental letter indicates mentoring and support for the PI._x000D_
_x000D_
_x000D_
Summary Statement_x000D_
_x000D_
This is a well-written proposal by a qualified PI on an emerging subject with obvious theoretical importance as well as potential practical impact. The activity can advance the state of knowledge in its field. The proposal is well organized and involves creative and novel concepts. The PI has the resources to undertake the proposed activity._x000D_
_x000D_
</t>
  </si>
  <si>
    <t xml:space="preserve">In the context of the five review elements, please _x000D_
evaluate the strengths and weaknesses of the proposal with respect to intellectual merit._x000D_
_x000D_
This proposal is about interactive coding. The broad problem here is to convert any given  interactive communication protocol into one that is resilient to transmission errors, while preserving its functionality. The PI has written many papers on the subject and seems well placed to make further progress. The goals outlined in the proposal are certainly worthy of support. _x000D_
_x000D_
There are some issues with some of the proposed approaches to tackling them. The first goal outlined is about finding circuits resilient to short-circuit errors by solving the corresponding communication problem, which the PI explains is similar to finding error-resilient versions of protocols with small memory usage. However, the proposal does not address some of the basic challenges involved in getting such an approach to work. For one thing, every Karchmer-Wigderson game has a logarithmic complexity randomized communication protocol---the randomized complexity of solving Karchmer-Wigderson games says nothing about circuits. Secondly, every Karchmer-Wigderson game for n-bit inputs has a deterministic protocol with O(n) memory states (and O(n) communication) that solves the game. So again, the number of memory states used to solve the game has nothing to do with circuit size. In particular, Objective 2 cannot possibly be accomplished, because otherwise, plugging in the O(n) state protocol above, one would presumably obtain a circuit of subexponential size for every boolean function, something we know is not possible. The proposal does not adequately address the subtleties involved in the connection between boolean circuits and interactive protocols._x000D_
_x000D_
The other topics discussed in the proposal involve improved interactive coding schemes with nice cryptographic properties, better constructions of tree codes, and problems related to finding the optimal tradeoff between rate and errors of these coding schemes. These are all worthwhile goals._x000D_
_x000D_
_x000D_
In the context of the five review elements, please _x000D_
evaluate the strengths and weaknesses of the proposal with respect to broader impacts._x000D_
_x000D_
This proposal contains a detailed plan for broad impact. The PI has given many well received lectures about this line of work already, and plans to continue this good work. _x000D_
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</si>
  <si>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PI proposes questions in the exciting area of interactive coding. Some of the questions regard memory requirements, questions in circuit complexity_x000D_
and their relationship to the existence of good interactive coding schemes, finding techniques that do not rely on tree codes, constructing tree codes explicity, the interaction of interactive coding and crypto._x000D_
_x000D_
The PI demonstrates promising directions, and has already made outstanding contributions in the area._x000D_
_x000D_
In the context of the five review elements, please _x000D_
evaluate the strengths and weaknesses of the proposal with respect to broader impacts._x000D_
_x000D_
* revamping undergrad courses_x000D_
* programming contest_x000D_
* great research advising record already_x000D_
* tutorials, workshops, coorganize semester program at SIMONS_x000D_
_x000D_
Please evaluate the strengths and _x000D_
weaknesses of the proposal with respect to any additional solicitation-specific review criteria, if _x000D_
applicable_x000D_
_x000D_
_x000D_
_x000D_
Summary Statement_x000D_
_x000D_
+ interesting questions_x000D_
+ fantastic track record_x000D_
+ good quality broader impacts_x000D_
_x000D_
</t>
  </si>
  <si>
    <t xml:space="preserve">In the context of the five review elements, please _x000D_
evaluate the strengths and weaknesses of the proposal with respect to intellectual merit._x000D_
_x000D_
Compelling research program of further developing the theory of correcting errors in interactive communication.  The PI discusses two widely recognized fundamental problems, constructing tree codes and determining the tradeoff between communication rate and tolerable error rate.  He further suggests two other problems, exploring the connection between circuits robust to gate failures and interactive coding schemes, and exploring connections between interactive communication and cryptography.  The PI has a strong track record in the field._x000D_
_x000D_
A weakness is that I've seen other proposals for tree codes based on Reed-Solomon codes, and it's very unclear that this proposal is any more likely to admit a proof of correctness than any of the others._x000D_
_x000D_
_x000D_
In the context of the five review elements, please _x000D_
evaluate the strengths and weaknesses of the proposal with respect to broader impacts._x000D_
_x000D_
The PI proposes several targets: teaching, advising, involving students from underrepresented groups, interdisciplinary education, and tutorials at workshops._x000D_
_x000D_
Please evaluate the strengths and _x000D_
weaknesses of the proposal with respect to any additional solicitation-specific review criteria, if _x000D_
applicable_x000D_
_x000D_
_x000D_
_x000D_
Summary Statement_x000D_
_x000D_
A strong proposal about error correction in the interactive setting._x000D_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</si>
  <si>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gained a lot of attention and the PI has been on the forefront of this effort._x000D_
_x000D_
This proposals outlines the PI's plan to further drive this research direction over the next five years. It gives a large number of interesting aspects to study. This the most important core questions of the research area, namely, explicit constructions of tree-codes, a powerful but so-far elusive type of online-code and determining the fundamental communication rate limits for error correction in interactive communications. It also demonstrates the breadth and wider applicability of the direction by showing connections to other areas of theoretical computer science, including, cryptography, privacy, memory efficient error resilient computations and robust circuits. Lastly, it outlines initiatives of the PI to inform and excite undergraduates, graduate students, the larger scientific community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Key Words: Interactive Communication, Communication Complexity, Reliable Computation and Communication, Interactive Coding Theory, Interactive Information Theory.</t>
  </si>
  <si>
    <t>1750893</t>
  </si>
  <si>
    <t>Xie</t>
  </si>
  <si>
    <t xml:space="preserve"> Panel Summary       
 Description: _x000D_
_x000D_
The PI proposes to study three problems about the analysis of Boolean functions: the log-rank conjecture for XOR functions, the sensitivity conjecture, and understanding the structure of Boolean functions with small Fourier-L1 norm._x000D_
_x000D_
Intellectual Merit:_x000D_
Strengths_x000D_
  + Interesting questions, though well known._x000D_
  + PI had a nice FOCS 2013 paper making progress on the first question, and suggests ideas from that paper in the proposal._x000D_
_x000D_
Weaknesses_x000D_
  - The ideas to attack these questions don't appear new._x000D_
  - Proposal seems not up to date on all the topics, not mentioning an exponential improvement in the last problem and a smaller improvement in the first problem._x000D_
   - Relevant track record not as good as other PIs, though he also did important work in the unrelated area of local computation._x000D_
   - Not written for a broad audience._x000D_
_x000D_
Broader Impact: _x000D_
Strengths_x000D_
  + FIU is very diverse, and the PI has co-advised two Hispanic PhD students._x000D_
  + PI aims to include undergraduates in research._x000D_
_x000D_
Weaknesses_x000D_
_x000D_
Suggestions to PI:_x000D_
Probably need more results and ideas to make this competitive._x000D_
_x000D_
Justification for Panel Rating:_x000D_
See intellectual merit weaknesses._x000D_
_x000D_
Panel Rating: _x000D_
_ Highly Competitive_x000D_
_ Competitive_x000D_
_ Low Competitive_x000D_
x Not Competitive_x000D_
_x000D_
The summary was read by/to the panel and the panel concurred that the summary accurately reflects the panel discussion._x000D_
</t>
  </si>
  <si>
    <t>KG0982206</t>
  </si>
  <si>
    <t>ODonnell</t>
  </si>
  <si>
    <t>odonnell@cs.cmu.edu</t>
  </si>
  <si>
    <t xml:space="preserve">In the context of the five review elements, please _x000D_
evaluate the strengths and weaknesses of the proposal with respect to intellectual merit._x000D_
_x000D_
The overall topic of the proposal is a good one: (Fourier) Analysis of Boolean functions, a foundational area of computer science research that the PI has worked in previously.  This is an area that perhaps centers more around problem-solving than theory-building, so the PI's proposal -- which essentially gives a few major open problems to tackle -- is a reasonable approach.  The 3 main problems discussed are:_x000D_
_x000D_
1. The Log-Rank Conjecture for XOR functions.  (The PI has one directly relevant paper on this, from FOCS 2013, and what slightly less related paper, from CSR 2016.)_x000D_
_x000D_
2. The (rather infamous) Sensitivity Conjecture._x000D_
_x000D_
3. Improving the Green-Sanders Theorem on the structure of Boolean functions with small Fourier-L1 norm._x000D_
_x000D_
On one hand, these problems do not have major transformative consequences, but they are certainly well-known (especially #2) and are reasonable test-beds for trying to develop and sharpen Boolean function tools.  The PI says he will try to bring to bear F_2-polynomial representation and coding theory, as well as the usual Fourier analysis._x000D_
_x000D_
I must admit I didn't find that the PI had any striking-sounded new approaches; for #1 and #3 he mentioned ideas from his 2013 paper, and for #2... well, I feel no one has any great ideas for #2._x000D_
_x000D_
One thing that concerned me is that the PI does not seem completely up-to-date on the topics.  For example, regarding #3, he states that the Green-Sanders (2008) bound is doubly-exponential, and he hopes to bring it down to singly-exponential, or even quasipolynomial.  But in fact, it was already brought down to singly-exponential by Sanders in 2016 (https://arxiv.org/abs/1610.07092).  As an additional (albeit much less important) example, in describing the general Log-Rank conjecture, he states that the best known lower bound (power of log_3(6)) is due to Kushilevitz'94.  But in fact, this was recently improved (power of 2) by Goos-Pitassi-Watson'15.  These two examples make me slightly nervous that the PI is not completely in tune with recent progress on the problems he's proposed._x000D_
_x000D_
I should add that the PI also mentions a few more smaller additional problems he wants to tackle: improving the trivial Cauchy--Schwarz upper bound of ||\hat{f}||_1^2 &lt;= ||f||_1 to ||\hat{f}||_1^2 &lt;= (2/pi + o(1))||f||_1 for Boolean functions, and the also tackling the "Fourier Entropy-Influence" inequality.  Again, these are fine problems, though I didn't see any particularly innovative approach suggested._x000D_
_x000D_
_x000D_
_x000D_
In the context of the five review elements, please _x000D_
evaluate the strengths and weaknesses of the proposal with respect to broader impacts._x000D_
_x000D_
Regarding broader impacts, the proposal makes a token effort to say that Boolean Function Analysis could be important for distant areas such as crypto, security, network design, databases, but nothing is added to back this up._x000D_
_x000D_
The more promising broader impacts are regarding training and development of students from under-represented populations.  The PI notes that his institution (FIU) has a particularly high level of diversity, and the PI says he has previously co-advised 1 Hispanic PhD student (and also 1 female PhD student).  This is certainly promising.  _x000D_
_x000D_
The PI also mentioned the possibility of taking an interest in elementary education, but concrete steps have not yet been taken (it was more like, "The PI plans to...")._x000D_
_x000D_
_x000D_
Please evaluate the strengths and _x000D_
weaknesses of the proposal with respect to any additional solicitation-specific review criteria, if _x000D_
applicable_x000D_
_x000D_
Not relevant._x000D_
_x000D_
Summary Statement_x000D_
_x000D_
Overall, I was a little concerned about the PI's ability to make major progress in the area.  Although he has done some good work in the past, it has been a bit distant; his relevant papers he quoted were from CSR'16, FOCS'13, SODA'10, and then two more papers from a decade ago.  As I mentioned, the PI was also not fully up-to-date on some of the problems he discussed.  (Finally, the writing quality of the proposal was adequate, but not particularly high-quality.)_x000D_
_x000D_
</t>
  </si>
  <si>
    <t xml:space="preserve">In the context of the five review elements, please _x000D_
evaluate the strengths and weaknesses of the proposal with respect to intellectual merit._x000D_
_x000D_
This proposal is about the complexity of boolean functions. It has some ambitious goals, for example proving the sensitivity conjecture and the entropy-infuence conjecture. However, the proposal is a bit short on intermediate problems that seem both approachable and tractable. The PI also proposes studying the log-rank conjecture for XOR functions. Here the problem does seem more tractable, and the PI has proposed some plausible approaches to the problem, but the goal is a little less interesting to me._x000D_
_x000D_
Overall, I think the proposal has solid intellectual merit._x000D_
_x000D_
_x000D_
In the context of the five review elements, please _x000D_
evaluate the strengths and weaknesses of the proposal with respect to broader impacts._x000D_
_x000D_
The PI has a good plan for increasing the visibility of TCS at FIU, and for bringing TCS to a broad audience._x000D_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</si>
  <si>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The author proposes a program to study Boolean function analysis via the Fourier spectrum.  _x000D_
_x000D_
1)	One item proposed to be studied is the log-rank conjecture.  The author proposes a simpler version on "XOR-functions".  _x000D_
2)	The sensitivity conjecture.  _x000D_
3)	Improving the Green-Sanders upperbound on the number of subspaces.  _x000D_
_x000D_
These are (at least the first two), very well-known conjectures in the area.  I confess I do not really understand their importance, and the proposal did not aid in this.  _x000D_
_x000D_
The author lays out several approaches to these problems (which are very difficult problems that have withstood much scrutiny) including: GF(2) polynomial understanding of Boolean functions; some recent advances in coding theory; and additive combinatorics.    _x000D_
_x000D_
I will confess that I could not follow the details at a low level here.  I cannot judge whether the approaches are novel or well-reasoned other than to say the sound plausible at a very surface level._x000D_
_x000D_
The PI has background in the area adequate to reasonably try tackling these problems.  It is a little disconcerting that he has no results (after two years) from his other NSF CCF award.  _x000D_
_x000D_
Notes:_x000D_
_x000D_
Large swaths of this proposal were unintelligible to me.  Several key definitions were deferred to a nonexistent "appendix" (including granularity and GF(2) polynomial understanding of Boolean functions)  _x000D_
_x000D_
I have taken a course on Boolean function analyses, and used it in my research (though I am not an expert).  The proposal would be improved greatly if it were written for an appropriate audience (I understand this is very difficult).   _x000D_
_x000D_
When I was starting out, I did not realize this: people actually read these proposals carefully!  90% of it should be understandable by the person reading it (me in this case).  Your structure is to have high-level overview and then details for the "expert".  The problem is that there are only 3-4 TCS experts (not Fourier analysis experts) reading this.  Most of the time, there is no area "expert".  So your technical proposal largely ends after page 5.   We have a fair bit of patience for some detailed explanations, but at the end, we want to understand them.  _x000D_
_x000D_
The author could add social networks to the uses of Fourier analysis on Boolean functions.  However, it would also add, that it would be great to make the connections of the research in THIS proposal link outside Boolean function analysis.  It is not very convincing to say that A relates to B and B relates to C.  Because C is important, so is A.  A could relate to a completely useless part of B that says nothing about C.  Making these connections explicit (and intelligible to a TCS expert) will strengthen the proposal.  _x000D_
_x000D_
_x000D_
_x000D_
In the context of the five review elements, please _x000D_
evaluate the strengths and weaknesses of the proposal with respect to broader impacts._x000D_
_x000D_
This proposal aims to tackle ambitious problems.  If solved they will likely have impacts beyond TCS.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Please evaluate the strengths and _x000D_
weaknesses of the proposal with respect to any additional solicitation-specific review criteria, if _x000D_
applicable_x000D_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Summary Statement_x000D_
_x000D_
The proposal is an ambitious undertaking two some of the most challenging problems in TCS.  The importance of these problem and the proposed techniques could have been better argued.  The educational outreach aspect is strong both in its proposal, the prior work of the author, and the author's university/location._x000D_
_x000D_
</t>
  </si>
  <si>
    <t xml:space="preserve">In the context of the five review elements, please _x000D_
evaluate the strengths and weaknesses of the proposal with respect to intellectual merit._x000D_
_x000D_
The PI proposes to study several interesting and well known problems in the analysis of Boolean functions, including the log-rank conjecture and the sensitivity conjecture. He presents some interesting ideas, notably a few that stem from the PI's FOCS 2013 paper about the log-rank conjecture and Fourier sparsity.  While this paper seems nice,  it's unclear why progress should be made now when progress was slower after 2013.  The log-rank conjecture and sensitivity conjecture seem very difficult.  The PI's track record appears weaker than other applicants, with only two STOC/FOCS publications (from 2013 and 2007), two SODA papers (2012 and 2010), and three ICALP papers (from 2016, 2012, and 2010)._x000D_
_x000D_
_x000D_
In the context of the five review elements, please _x000D_
evaluate the strengths and weaknesses of the proposal with respect to broader impacts._x000D_
_x000D_
FIU is one of the leading minority-serving research universities in the country. The PI has co-advised two Hispanic PhD students._x000D_
_x000D_
Please evaluate the strengths and _x000D_
weaknesses of the proposal with respect to any additional solicitation-specific review criteria, if _x000D_
applicable_x000D_
_x000D_
_x000D_
_x000D_
Summary Statement_x000D_
_x000D_
While the PI proposes interesting ideas in the analysis of Boolean functions, his track record is probably not strong enough to justify a CAREER award at this time._x000D_
_x000D_
</t>
  </si>
  <si>
    <t>Boolean function is one of the most fundamental computation models in theoretical computer science. Applying analytic tools, especially Fourier analysis, to the study Boolean functions has led to fruitful research in many areas such as complexity theory, learning theory, inapproximability, pseudorandomness, metric embedding, property testing, threshold phenomena, social choice, etc.   _x000D_
_x000D_
In this proposal, the PI aims at developing new tools and techniques to study several open problems in the analysis of Boolean functions._x000D_
Specifically, the PI plans to apply GF(2)-polynomial paradigm, coding theoretic methods, additive combinatorics, together with traditional Fourier analytic methods to make progress on the problems of the Log-rank conjecture for XOR functions, the Sensitivity conjecture, tighter characterizations of complexity measures in decision tree complexity, decomposing Boolean functions with small spectral norms, Fourier Entropy Influence (FEI) conjecture, and so on.The proposed research attempts to address some fundamental open problems in Boolean functions, develop novel tools and techniques for analyzing the Fourier spectra of Boolean functions, and reveal new connections between the Fourier spectral and various other complexity measures of Boolean functions. As a foundational research frontier in theoretical computer science, advances in the studies of Boolean functions will have significant impacts on a wide range of areas within computer science, such as complexity theory, learning theory, coding theory, derandomization, approximation algorithms, streaming algorithms, and social choice theory. Due to its close relationship with discrete mathematics and functional analysis, progress in the analysis of Boolean functions will have far-reaching implications in combinatorics, number theory, analysis, and other branches of mathematics.Understanding various properties, including complexity measures, _x000D_
of Boolean functions poses one of the greatest challenges in theoretical computer science. The proposed research will deepen our understanding of Boolean functions from the perspective of Fourier spectral, and thus have the potential of fundamentally changing the way Boolean functions are designed, analyzed and processed. Moreover, due to the intimate connections between Boolean functions and other computational and combinatorial objects, this new study could have far-reaching implications in many other areas in computer science, such as cryptography, cyber security, network design and database systems._x000D_
_x000D_
An integral part of this proposal are the educational components,_x000D_
which are designed to ensure the proposed research's broader impact and improve workforce training. The program includes developing undergraduate and graduate courses geared toward disseminating _x000D_
new algorithmic ideas outside the theoretical computer science community, as well as recruiting and advising graduate students from under-representative groups._x000D_
_x000D_
Given the relatively small number of minority PhD students across the country, it is significant to note that FIU is one of the largest minority-serving research universities in Unite States. The PI has co-advised a Hispanic PhD student and is currently co-advising another female PhD student with another faculty member in the department. With the support of this project, the PI is committed to recruiting more undergraduate and graduate students from minority groups to carry out research in theoretical computer science and, more generally, to pursue computationally-oriented scientific careers.</t>
  </si>
  <si>
    <t>1751040</t>
  </si>
  <si>
    <t>Price</t>
  </si>
  <si>
    <t xml:space="preserve"> Panel Summary       
  Description: _x000D_
This proposal will consider two directions:  First, this work will develop algorithms for recovering continuous signals which have sparse representations, analogous to the important thrust of ongoing work for discrete signals with sparse representation.   Second, this work will develop sublinear time and space algorithms for estimating properties of distributions with better p-values (that is, in terms of the confidence parameters) and for estimating parameters of graphs._x000D_
_x000D_
Intellectual Merit: _x000D_
_x000D_
_x000D_
Strengths_x000D_
  + Question are compelling and well-motivated._x000D_
  + The PI is well-qualified, has made partial progress and has a good track record in this area_x000D_
  + Likely to have practical impact._x000D_
  + Likely to lead to interesting theoretical work._x000D_
  + well-written proposal_x000D_
  + connections with deep nets  are interesting_x000D_
Weaknesses_x000D_
  - The second direction could have been elaborated better._x000D_
_x000D_
Broader Impact: Broader impact includes industrial use of techniques in their algorithms.  The PI plans to work with the USA Olympiad to increase participation, with a special target for diversity.   The PI will integrate more programming assignments into the algorithms class._x000D_
_x000D_
Strengths_x000D_
  + Research is likely to have industrial impact_x000D_
  + PI plans to work with USA Computing Olympiad and high schoolers_x000D_
  - Some of the processes for raising awareness (e.g. handing out flyers) could be better thought out._x000D_
_x000D_
Solicitation-specific criteria: The PI will integrate education and research by designing new graduate courses and enhancing undergraduate courses._x000D_
_x000D_
Data Management Plan:  Adequate_x000D_
_x000D_
Collaboration Plan: not needed_x000D_
_x000D_
What is bold, exciting, high risk/reward, or potentially transformative? _x000D_
 Data that comes from the continuous domain occurs widely.   Our ability to deal with it in better ways will be transformative.  _x000D_
_x000D_
Suggestions to PI: _x000D_
_x000D_
Justification for Panel Rating:  The questions raised are important, and the PI is well-qualified to make progress in these directions. However, there were other stronger proposals in the panel._x000D_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</si>
  <si>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is extremely well organized and clear questions -- does a good job of showing how the problems and areas that are targeted have clear impact not only in their domain but also across domains. The research questions are ambitious but also extremely focused and clear._x000D_
_x000D_
While there was not significant detail on moving to practice and the PI has had success in technology commercialization this proposal does not address how the proposed courses of theoretical research may be exposed to practice.  However, these links don't seem hard to make: i.e., with the distribution testing creating tools / algorithms online or in the case of sample complexity to GANs this could have direct impact._x000D_
_x000D_
2. To what extent do the proposed activities suggest and explore creative, original, or potentially transformative concepts?_x000D_
_x000D_
The questions addressed are well grounded in creative and address fundamental gaps between the theory and more practical aspects (data limited aspects) of signal recovery and property testing._x000D_
_x000D_
3. Is the plan for carrying out the proposed activities well-reasoned, well-organized, and based on a sound rationale? Does the plan incorporate a mechanism to assess success?_x000D_
_x000D_
There is a clear integration between these questions and they are important. Additionally the questions are related but not interdependent such that advances could be used across questions but failure to make progress in any of the theoretical areas will not impede the others._x000D_
_x000D_
4. How well qualified is the individual, team, or institution to conduct the proposed activities?_x000D_
_x000D_
The main questions are well integrated and show a clear focus from the PI in terms of research direction for which he is well qualified based on past publications and performance.  The fundamental questions are informed by the PIs PhD research so he is in a good place to conduct the proposed activities._x000D_
_x000D_
5. Are there adequate resources available to the PI (either at the home institution or through collaborations) to carry out the proposed activities?_x000D_
_x000D_
There is sufficient resources from the department to carryout the proposed research activities._x000D_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are ambitious and the PI seems to have a real desire to see the work translated to practice through working on concrete problems of industrial interest (i.e., signal processing).  He also is very invested in expanding the scope of IOI/USACO.  It is unclear to me how impactful this channel will be and how it compares to the scope and impact of the ACM Programming Competition.  _x000D_
_x000D_
2. To what extent do the proposed activities suggest and explore creative, original, or potentially transformative concepts?_x000D_
_x000D_
The broader impacts are creative and explore underutilized resources (USACO) along with potentially transformative applications of algorithms through technology transfer._x000D_
_x000D_
3. Is the plan for carrying out the proposed activities well-reasoned, well-organized, and based on a sound rationale? Does the plan incorporate a mechanism to assess success?_x000D_
_x000D_
See 5, there are good measure for success identified w.r.t. the USACO participation as well as the teaching and mentoring aspects of the project._x000D_
_x000D_
4. How well qualified is the individual, team, or institution to conduct the proposed activities?_x000D_
_x000D_
The PI is a graduate of the programs he has identified and is hence well qualified to execute.  He also has a good track record of teaching and commercialization so he is well qualified for these tasks._x000D_
_x000D_
5. Are there adequate resources available to the PI (either at the home institution or through collaborations) to carry out the proposed activities?_x000D_
_x000D_
W.r.t the outreach related to IOI/USACO I am not sure if flyers are sufficient.  Additionally, it is not clear how this is connected to the bulk of the proposal and how one informs the other. Or how this integrates with the well established ACM programming competition which is only mentioned in passing._x000D_
_x000D_
Please evaluate the strengths and _x000D_
weaknesses of the proposal with respect to any additional solicitation-specific review criteria, if _x000D_
applicable_x000D_
_x000D_
_x000D_
_x000D_
Summary Statement_x000D_
_x000D_
A strong proposal that identifies important and key questions in the area of signal processing and property testing.  Good opportunity for broad impact through technological advances and technology transfer.  Several key areas for outreach are identified but could be developed slightly better._x000D_
_x000D_
</t>
  </si>
  <si>
    <t xml:space="preserve">In the context of the five review elements, please _x000D_
evaluate the strengths and weaknesses of the proposal with respect to intellectual merit._x000D_
_x000D_
This proposal is about understanding several well motivated families of problems. The first has to do with recovering a function with a sparse fourier-spectrum. When the spectrum is supported on discrete frequencies, the problem is well studied. The PI suggests several interesting questions in this regard. These problems are extremely well motivated by practical applications, and progress on them is likely to involve some interesting theoretical work. The PI also suggests studying problems related to robust polynomial regression, where again the problem is quite interesting and the PI has made partial progress already._x000D_
_x000D_
The PI has already established a strong track record of coming up with interesting answers to similar questions._x000D_
_x000D_
In the second part of the proposal the PI discusses problems related to distribution testing and in the third, counting triangles in graphs using streaming algorithms. These are also interesting topics that the PI has had past success with._x000D_
_x000D_
Overall, I find the propoal to have a lot of intellectual merit._x000D_
_x000D_
_x000D_
In the context of the five review elements, please _x000D_
evaluate the strengths and weaknesses of the proposal with respect to broader impacts._x000D_
_x000D_
The PI has been involved with the USA computing Olympiad, and plans to continue advacing theoretical computer science via this participation. Generally, he has a good plan for continuing to have broad impact, both through education and via interaction with other research communities.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</si>
  <si>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PI proposes two major thrusts:_x000D_
(1) Continuous sparse recovery problems:  The PI suggests a research program, as in the (highly successful) large body of work on *discrete* sparse recovery, for continuous sparse recovery.   Since an important class of is continuous, this direction is crucial.  The PI gives a number interesting mathematical suggestions for how he plans to pursue this plan.  (2)  The PI suggests interesting questions in property testing of distributions, namely to reduce the dependence on the confidence parameter, and in sublinear time and space algorithms for triangle counting.   The former builds on previous work of the PI and the proposal suggests directions for making further progress.  _x000D_
_x000D_
The PI is highly qualified to make progress on this project._x000D_
PI proposed interesting questions in signal recovery and property testing.  Fpr tInteresting techniques are suggested for continuous_x000D_
sparse recovery problems, generative models,faster robust polynomial regression and faster property testing of distributions._x000D_
_x000D_
The PI has a very strong research track record, and has made fantastic contributions in the area of the proposal._x000D_
_x000D_
In the context of the five review elements, please _x000D_
evaluate the strengths and weaknesses of the proposal with respect to broader impacts._x000D_
_x000D_
Solutions to sparse recovery for continuous signals will have impact on industry._x000D_
_x000D_
PI will work with USA Computing Olympiad and with high schools.   Places emphasis on more involvement in general, and specifically more diversity involvement._x000D_
_x000D_
Please evaluate the strengths and _x000D_
weaknesses of the proposal with respect to any additional solicitation-specific review criteria, if _x000D_
applicable_x000D_
_x000D_
_x000D_
_x000D_
Summary Statement_x000D_
_x000D_
+ strong track record_x000D_
+ high likelihood of progress_x000D_
+ many of the problems have a fundamental feel._x000D_
+ interesting ideas are suggested for solving them_x000D_
+ likely to have impact on industry_x000D_
_x000D_
</t>
  </si>
  <si>
    <t xml:space="preserve">In the context of the five review elements, please _x000D_
evaluate the strengths and weaknesses of the proposal with respect to intellectual merit._x000D_
_x000D_
There are two main threads in the proposal: (1) to develop new algorithms for recovering signals with sparse Fourier transforms for continuous signals, and (2) to develop new property testing algorithms for distribution testing and estimating parameters over graphs. _x000D_
_x000D_
(1) Most existing results only apply to the discrete setting where the current literature also provides approach that is robust to noise (close to k-sparse signal). These algorithms do not carry over to the continuous setting. There are some old work on continuous setting for noiseless case, but when developing robust algorithms, no known algorithm has sublinear sample complexity in terms of k, and all require certain gap in the frequency spectrum. The PI proposes to analyze various new questions in this domain, especially the connection to sample complexity of deep networks is very interesting. _x000D_
_x000D_
(2) While there has been many results in distribution testing, the impact of those results have been limited. The PI proposes new approach for distribution testing to make the results compatible to hypothesis testing, which on the other hand has enormous practical usage. For example, for uniformity testing, the property testing results suggests \Theta(sqrt{n}/epsilon^2) samples are enough to distinguish a distribution being uniform or \epsilon-far in total variation distance. PI argues the probability amplification step that amplifies the success probability from a constant to any arbitrary precision is problematic as it involves repeating the experiment many times. It introduces large constant factors. PI asks if it is possible to develop simple test statistics that avoid this easy repetition technique. For uniformity testing, such a tester is possible, and PI will try to develop such tester for other problems. PI also asks some interesting questions about counting triangles in the streaming model and understanding the space complexity requirements for turnstile vs sampling model._x000D_
_x000D_
Summary of strength and weakness: Well-written proposal by a qualified PI. The first part of the proposal on sparse Fourier recovery of continuous signals is compelling. The last two sections, especially the one on graph streaming could have been elaborated better._x000D_
_x000D_
In the context of the five review elements, please _x000D_
evaluate the strengths and weaknesses of the proposal with respect to broader impacts._x000D_
_x000D_
Well written broader impact section. The research is likely to have industrial impact (though no industrial collaboration letter has been submitted). The PI plans to work with the USA Computing Olympiad to teach high schoolers advanced algorithmic programming. PI will advise undergraduates and graduate students and develop courses where students can get more hands-on experience with the algorithms._x000D_
_x000D_
Please evaluate the strengths and _x000D_
weaknesses of the proposal with respect to any additional solicitation-specific review criteria, if _x000D_
applicable_x000D_
_x000D_
_x000D_
_x000D_
Summary Statement_x000D_
_x000D_
Overall, the proposal is well-written and is likely to produce interesting results both of theoretical and practical interest._x000D_
_x000D_
</t>
  </si>
  <si>
    <t>From medical imaging to astronomy, scientific hypothesis testing to data analysis, computers are used in a wide variety of areas where computation is cheaper than data collection. Such situations call for algorithms that are not just fast, but more importantly data efficient._x000D_
_x000D_
This proposal focuses on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object?For signal recovery, the PI will develop new algorithms for recovering signals with sparse Fourier transforms for continuous signals. There has been substantial recent progress on efficient algorithms for the sparse variant of the discrete Fourier transform. However, there has been much less work on the continuous case, despite the fact that most signals of interest have continuous spectra. The proposal will address this gap._x000D_
_x000D_
The PI will demonstrate the possibility of leveraging recent developments in neural networks into efficient signal recovery. These networks are much more expressive than the sparsity-based models used in traditional compressed sensing, so this direction promises to achieve similar theoretical guarantees with many fewer samples._x000D_
_x000D_
Furthermore, many techniques used in signal recovery -- including for sparse Fourier transforms -- deal poorly with arbitrarily corrupted samples. The PI will explore methods of signal recovery that are robust to outlier measurements, starting with the robust polynomial regression problem._x000D_
_x000D_
For property testing, the PI proposes a modification to the standard distribution testing framework that makes it more compatible with statistical hypothesis testing. This will allow scientists to get smaller, more accurate p-values from fewer data points._x000D_
_x000D_
The PI also plans to study properties of graphs that can be estimated with a sublinear sample of the edges, starting with an instance-optimal estimator for counting triangles in the graph. In the sublinear regime, it is conjectured that sampling may be as powerful as the general turnstile streaming model.Much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and more diverse set of high school students.</t>
  </si>
  <si>
    <t>1751048</t>
  </si>
  <si>
    <t>Papakonstantinou</t>
  </si>
  <si>
    <t xml:space="preserve"> Panel Summary       
 Description:_x000D_
This proposal aims to establish a theory for comparing prediction accuracy of machine learning heuristics and improving the run time of SAT-solving heuristics. For machine learning heuristics, it considers both sampling-based heuristics and deep learning networks._x000D_
_x000D_
The research agenda may lead to interesting results that will advance our understanding of heuristics and providing a theoretical underpinning for them. _x000D_
 _x000D_
Intellectual Merit:_x000D_
Strengths_x000D_
_x000D_
+ The PI is investigating fundamental heuristics in the machine learning area (Random Forests and Deep Neural Networks) and SAT._x000D_
_x000D_
+ The research agenda may lead to interesting results that will advance our understanding of heuristics and provide a theoretical underpinning for them. _x000D_
_x000D_
Weaknesses_x000D_
  -  The PI explains how to use this approach to compare sampling-based heuristics, where the heuristics are of similar structure. It is not clear how to establish a comparative framework for comparing heuristics that have different structures._x000D_
_x000D_
- There is a limited evaluation component on real data._x000D_
_x000D_
- The PI claims limited results on analysis of ensemble methods. There are other results besides those claimed by the PI. For example, many results are in Mikhail Traskin, PhD Thesis UC Berkeley._x000D_
_x000D_
Broader Impact:_x000D_
Strengths_x000D_
  + The broader impacts of the proposed research could be significant, if the PI is able to provide a solid framework to compare heuristics._x000D_
  + The educational and outreach activities include student training through curriculum development._x000D_
  + Training students for the SAT-solving competition._x000D_
_x000D_
Data Management Plan:_x000D_
Adequate_x000D_
_x000D_
Solicitation-specific criteria:_x000D_
The integration of education and research is reasonable._x000D_
_x000D_
Suggestions to PI:_x000D_
The proposal has two distinct components --- one on machine learning heuristics and the other on SAT solvers._x000D_
There is very little common between these two components._x000D_
Even in machine learning the work on random bagging and forests seems disconnected with deep neural networks. Explaining connections between them will help._x000D_
_x000D_
The proposal needs to discuss new insights that will help the PI in solving the proposed problems._x000D_
_x000D_
Justification for Panel Rating:_x000D_
The current proposal poses good questions, but does not provide concrete ways to approach them._x000D_
_x000D_
Panel Rating:_x000D_
_ Highly Competitive_x000D_
_ Competitive_x000D_
X Low Competitive_x000D_
- Not Competitive_x000D_
_x000D_
The summary was read 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</si>
  <si>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concerns several important topics in machine learning and AI: (1) sub-sampling and re-sampling (e.g., Bagging and Random Forests); (2) deep learning; (3) SAT solvers.  Many of these questions are timely, interesting, and well-known (e.g., why does deep learning work or under which conditions can more complex DNNs be learned more accurately than simpler ones?). However, the proposal does not present concrete approaches or ideas for attaching them. _x000D_
_x000D_
The writing is somewhat bombastic and inaccurate at times. There are more theoretical results on ensemble methods than the PI states. See e.g., "On the consistency of ensemble classification algorithms",  Mikhail Traskin, PhD Thesis UC Berkeley_x000D_
_x000D_
_x000D_
In the context of the five review elements, please _x000D_
evaluate the strengths and weaknesses of the proposal with respect to broader impacts._x000D_
_x000D_
The educational and outreach activities include  student training through curriculum development with an emphasis on "injecting computational thinking" into undergraduate and graduate_x000D_
courses, developing lecture notes, and training students for the SAT-solving competition._x000D_
_x000D_
Please evaluate the strengths and _x000D_
weaknesses of the proposal with respect to any additional solicitation-specific review criteria, if _x000D_
applicable_x000D_
_x000D_
_x000D_
_x000D_
Summary Statement_x000D_
_x000D_
This proposal concerns several important topics in machine learning and AI: (1) sub-sampling and re-sampling (e.g., Bagging and Random Forests); (2) deep learning; (3) SAT solvers.  All of these topics are highly important and providing guarantees for existing algorithms or explanations for phenomena observed in practice would be highly beneficial. The current proposal poses good questions (some of them well-known) in these directions, but does not provide concrete ways to approach them._x000D_
_x000D_
</t>
  </si>
  <si>
    <t xml:space="preserve">In the context of the five review elements, please _x000D_
evaluate the strengths and weaknesses of the proposal with respect to intellectual merit._x000D_
_x000D_
This proposal aims to establish a theory for comparing prediction accuracy of machine learning heuristics and improving the run time of SAT-solving heuristics. For machine learning heuristics, it considers both sampling-based heuristics and deep learning networks. I like the research agenda and believe that the effort will lead to interesting results that will advance our understanding of heuristics and providing a theoretical underpinning for them. _x000D_
_x000D_
The PI intends to use a comparative framework for comparing heuristics and develop better ones. The idea is intuitive: if we can find an 'ideal algorithm' for the problem, we can use it as a benchmark and compare heuristics with this ideal algorithm. The PI explains how to use this approach to compare sampling-based heuristics, where the heuristics are of similar structure. I hope the PI will spend more time discussing how to establish a comparative framework for comparing heuristics that have different structures. That seems to be important._x000D_
_x000D_
In the context of the five review elements, please _x000D_
evaluate the strengths and weaknesses of the proposal with respect to broader impacts._x000D_
_x000D_
+ Provide guidance to practical uses of heuristics_x000D_
+ Outreach to local community_x000D_
_x000D_
_x000D_
Please evaluate the strengths and _x000D_
weaknesses of the proposal with respect to any additional solicitation-specific review criteria, if _x000D_
applicable_x000D_
_x000D_
Good integration of research and education: curriculum development, student advising/mentoring, and pedagogical innovation._x000D_
_x000D_
Summary Statement_x000D_
_x000D_
Nice research agenda. I'd hope to see more information on how to deal with the more challenging scenarios. _x000D_
_x000D_
_x000D_
</t>
  </si>
  <si>
    <t xml:space="preserve">In the context of the five review elements, please _x000D_
evaluate the strengths and weaknesses of the proposal with respect to intellectual merit._x000D_
_x000D_
The objective of the proposal is to conceptualize the notion of comparing heuristics; to obtain provably better heuristics; and to study the limits of heuristics. This is a commendable and potentially very useful quest in the era of big data._x000D_
_x000D_
Unfortunately, the proposal is very poorly written. The research plan seems to have two disconnected components: the first component focuses on subsampling, resampling, and its connections to training Deep Neural Networks. The PI poses four research questions that focus on subsampling and three more research questions regarding deep learning. The interplay between those seven research tasks was not properly articulated in the proposal, leading to a non-cohesive research plan. The second component of the proposal focuses on SAT-solving heuristics: again, five more research questions are posed, but the connection and interplay with the first seven questions is not discussed. Beyond the fact that all research questions have something to do with analyzing heuristics, I could not figure out any other connections between the various components of the proposal._x000D_
_x000D_
The PI is quite experienced, and actually appears to be currently tenured (according to the department head's letter). So, one would expect a better written proposal by a relatively senior PI._x000D_
_x000D_
In the context of the five review elements, please _x000D_
evaluate the strengths and weaknesses of the proposal with respect to broader impacts._x000D_
_x000D_
The broader impacts of the proposed research could be significant, if the PI is able to provide a solid framework to compare heuristics. There is a limited evaluation component on real data and the broader impact in terms of educational activities is very limited._x000D_
_x000D_
Please evaluate the strengths and _x000D_
weaknesses of the proposal with respect to any additional solicitation-specific review criteria, if _x000D_
applicable_x000D_
_x000D_
See discussion above._x000D_
_x000D_
Summary Statement_x000D_
_x000D_
A poorly written proposal on an important and potentially influential topic. Both the intellectual merit and the broader impact part of the proposal could be significantly improved._x000D_
_x000D_
</t>
  </si>
  <si>
    <t xml:space="preserve">In the context of the five review elements, please _x000D_
evaluate the strengths and weaknesses of the proposal with respect to intellectual merit._x000D_
_x000D_
Strengths: _x000D_
_x000D_
The PI is investigating fundamental problems in the area of heuristics in machine learning. He has picked the heuristics that are immensely popular in the machine learning area (Random Forests and Deep Neural Networks)._x000D_
_x000D_
For SAT problems, the PI proposes to look at SLS algorithms as well as CDCL solvers._x000D_
In the SAT area, the PI has participated in the annual competition and his team was ranked 4th in 2016._x000D_
_x000D_
Any contribution to either of the areas will have a direct impact on the practice._x000D_
_x000D_
The PI has made significant contributions in the area with publications in prestigious conferences. There are adequate resources available to PI._x000D_
_x000D_
The proposal is well-written with clear formulation of the research problems._x000D_
_x000D_
Weaknesses: _x000D_
_x000D_
While the work on machine learning and SAT have the common thread of using heuristics, the areas and the style is quite different._x000D_
_x000D_
In the SAT area, it is likely that PI will discover interesting properties of heuristics for_x000D_
SLS algorithms and CDCL solvers. However, it is not clear if the project will result in fundamentally new methods for SAT problems._x000D_
_x000D_
_x000D_
_x000D_
In the context of the five review elements, please _x000D_
evaluate the strengths and weaknesses of the proposal with respect to broader impacts._x000D_
_x000D_
Strengths:_x000D_
Any new ''dominant'' heuristic in machine learning or SAT will have large impact._x000D_
_x000D_
Rutgers-Newark is a diverse campus and the project may benefit underrepresented groups. The project involves undergraduates and will contribute to various educational activities._x000D_
_x000D_
Please evaluate the strengths and _x000D_
weaknesses of the proposal with respect to any additional solicitation-specific review criteria, if _x000D_
applicable_x000D_
_x000D_
_x000D_
_x000D_
Summary Statement_x000D_
_x000D_
The proposal is at the interface of theory and practice. It has potential to make important practical contributions to the art and science of heuristics._x000D_
_x000D_
</t>
  </si>
  <si>
    <t>In recent years, data analysis and optimization algorithms have been deployed at an unprecedented rate due to their incredible usefulness. Such algorithms are instrumental in drug discovery and personalized treatments, chip design, self-driving vehicles, and stock trading, among a variety of other applications. These remarkable algorithms are heuristic, which means that they lack provable guarantees in accuracy or efficiency. The gap between theory and practice in heuristics is alarming. The proposed research aims to close this gap, develop a theory for heuristics that uses no (or very few) input assumptions, design better heuristics, and study their limitations. The research plan aims to cover the study of accuracy and efficiency by studying (1) the accuracy of machine learning heuristics and (2) efficiency of constraint satisfaction heuristics._x000D_
_x000D_
The theoretical problems the proposed research seeks to address stem from the following question: "What theory can we develop using the knowledge that current heuristics perform well in practice?''.Previous theoretical research in heuristics relied on modeling and input assumptions. Instead of absolute guarantees, the proposed research puts forth the \emph{comparative analysis of heuristics} that formalizes the following idea. "Whenever (old) heuristic B works then (new) heuristic A works better'', which leaves the possibility that occasionally both A and B perform poorly. The stepping stone towards this research direction is the preliminary work by the PI (AAAI'14, AAAI'16). In that work ``new heuristics A'' were designed by ``transferring technology'' from the areas of pseudorandomness and time-space trade-offs, including previous theoretical works by the PI; e.g.,~Nisan-Wigderson designs in machine learning._x000D_
_x000D_
The overarching goal of this research is to improve (1) the prediction accuracy of supervised machine learning heuristics and (2) the runtime of SAT-solving heuristics. The following questions form the thrusts of the proposed research. Is there a general principle for designing sub-sampling heuristics and how can we exploit additional underlying structure (such as metric structure) in sub-sampling? How do the different deep neural network (DNN) architectures compare to each other? More generally, why does deep learning work, e.g.,~under which conditions can more complex DNNs be learned more accurately than simpler ones? Which heuristic rules in stochastic local search solvers have the greatest impact on the running time? How should we choose the right conflict-driven clause learning policies in state-of-the-art SAT-solvers?The proposed research has the potential to bridge the gap between theory and practice and profoundly change the way heuristics are devised in machine learning and constraint satisfaction. Towards realizing this goal, and to ensure the broader impact of this work, this career development plan encompasses various educational and outreach activities. These include student training through curriculum development with an emphasis on "injecting computational thinking" into undergraduate and graduate courses, developing more sets of lecture notes, training students for the SAT-solving competition (PI's team ranked 4th in 2016), and constantly contributing to the very successful efforts in realizing the main mission of Rutgers-Newark for "diversity, inclusion, and opportunity".</t>
  </si>
  <si>
    <t>1751076</t>
  </si>
  <si>
    <t>Gkatzelis</t>
  </si>
  <si>
    <t xml:space="preserve"> Panel Summary       
 _x000D_
Description: _x000D_
_x000D_
This proposal seeks to develop a theme of research around mechanisms without money and to create a "coherent theory or systematic approach"   It focuses on computational complexity of fair division (of indivisible goods), fair division of fully allocating divisible goods, truthful matching markets, and mechanisms for allocating computational resources. One theme that runs through the proposal is looking at NSW (the product of the utilities) rather than SW the sum. This provides a natural "fairness" guarantee, which is quite nice in several of the settings._x000D_
_x000D_
Intellectual Merit: _x000D_
  + Many tangilble research directions proposed._x000D_
  + Most research directions come with viable approaches._x000D_
  +  PI has a strong track-record in this area. _x000D_
_x000D_
Weaknesses:_x000D_
   - Problems could be more tied together, lacks a cohesive focus.   _x000D_
  - a couple directions are very difficult and do not seem to have sufficient coherent plans to make advances._x000D_
  - It will be nice if the PI can better position the proposed research in the context of existing efforts and justify why the set of the proposed problems in the proposal is the best/right questions to ask for the domain of mechanism design without money. For example, Ariel Procaccia's group at CMU has done a plethora of work on fair division and has the Spliddit site that providing probably fair solutions for a variety of real-world problems. _x000D_
_x000D_
Broader Impact: _x000D_
_x000D_
Strengths_x000D_
  + coop-matching idea_x000D_
  +  reachout through SPLASH_x000D_
  +  research will be integrated into the PIs cirriculum development efforts_x000D_
  +  he proposes a new seminar series for Drexel PhDs_x000D_
Weaknesses_x000D_
  - Proposal does not make it clear how immediately these results will apply to practical settings._x000D_
_x000D_
Solicitation-specific criteria: _x000D_
_x000D_
The PI has a history of reaching out to K-12 student's through SPASH!   The research will be integrated into the PIs cirriculum development efforts, and he proposes a new seminar series for Drexel PhDs. _x000D_
_x000D_
Data Management Plan:  Your data management plan should talk about how you are going to interface with any data from the COOP program, or should should explicitly state that you will not use such data._x000D_
_x000D_
Suggestions to PI: The proposal would be stronger if it were tied together a little more.  Additionally, some of the directions that are less fleshed out could be removed or improved.    _x000D_
_x000D_
Justification for Panel Rating:  This was a well reasoned proposal by a PI with experience in the area.  The broader impacts and integration with edutation components were excellent.  The proposal could be improved by making it more cohesive and culling or improving relatively weaker areas.  The competition was fierce, and you were competing with other reserachers with even stronger track records.   The proposal should be improved along the suggested guidelines and resubmitted.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</si>
  <si>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looks at mechanism design without payments or money changing hands; such mechanisms are very important in settings where one is unable, or it is not allowed, to have monetary exchanges. While this is a very large area with a lot of history, this proposal focuses on two high-level types of questions:_x000D_
_x000D_
1. Designing truthful mechanisms by using "money-burning". In resource allocation, this would correspond to not allocating all the resources (and thus wasting them), or penalizing the agents (for example by causing them extra delay in scheduling mechanisms). While this is clearly wasteful, such techniques can be used to guarantee truthfulness from the agents, and thus improve the performance of the mechanism overall._x000D_
_x000D_
2. Designing approximation algorithms for allocation of items to buyers with various objectives. There is no "game theory" for this direction: it is simply a well-defined optimization problem; the PI plans to focus on difficult-to-approximate objectives like solving the Santa Clause problem._x000D_
_x000D_
Strengths:_x000D_
_x000D_
+ The PI has preliminary work for most of the questions asked, and some possible approaches. The PI is very well-qualified to answer these questions._x000D_
_x000D_
+ There is a nice mix of longer-term and short-term problems to be tackled._x000D_
_x000D_
+ The questions being asked are important, and have a variety of applications such as matching, resource sharing, scheduling of computing jobs, etc. They are definitely interesting and deserve study._x000D_
_x000D_
+ The PI plans to specifically tackle concrete applications in addition to theory, through looking at the Drexel co-op matching mechanism._x000D_
_x000D_
_x000D_
Weaknesses:_x000D_
_x000D_
- There is no "big research direction", instead there are many medium-term directions. I would expect something a bit more long-term and ambitious from a CAREER proposal. That said, I would consider developing techniques for the questions being asked here to be a big and important research direction._x000D_
_x000D_
- Sometimes the proposed approaches reduce to "we'll try the same thing that worked in our published work, but for a slightly different setting"._x000D_
_x000D_
- The questions being asked are not extremely novel. That said, some of the techniques that the PI plans to use are promising, so this should be considered the novel part._x000D_
_x000D_
_x000D_
In the context of the five review elements, please _x000D_
evaluate the strengths and weaknesses of the proposal with respect to broader impacts._x000D_
_x000D_
Strengths:_x000D_
_x000D_
+ The PI plans to work on the Drexel co-op matching mechanism, which could yield applied tools for cardinal matching in addition to improving the Drexel co-op program itself._x000D_
_x000D_
+ The PI plans to design tutorials, courses with projects in them_x000D_
_x000D_
+ The PI plans to outreach to K-12 students, as he has done previously while at NYU._x000D_
_x000D_
_x000D_
Please evaluate the strengths and _x000D_
weaknesses of the proposal with respect to any additional solicitation-specific review criteria, if _x000D_
applicable_x000D_
_x000D_
_x000D_
_x000D_
Summary Statement_x000D_
_x000D_
This is a solid proposal by a well-qualified PI, in an interesting and important area where the PI is likely to make an impact._x000D_
_x000D_
_x000D_
</t>
  </si>
  <si>
    <t xml:space="preserve">In the context of the five review elements, please _x000D_
evaluate the strengths and weaknesses of the proposal with respect to intellectual merit._x000D_
_x000D_
This is a fine proposal on mechanism design without money. It focuses on computational complexity of fair division (of indivisible goods), fair division of fully allocating divisible goods, truthful matching markets, and mechanisms for allocating computational resources. The first three topics all have extensive literatures. The proposed research pushes the frontier by considering computational questions of existing mechanisms and richer and more realistic models. While I believe that interesting results will come out from this research, the problems considered felt a little spread-out and it's not well supported that these are the set of most fundamental questions for these topics. The last topic doesn't have a lot of prior work and potentially has important practical impacts. I hope that the PI will focus more on the last topic.  _x000D_
_x000D_
The PI has a track record in the areas of the proposed research and is well qualified to carry out this research. _x000D_
_x000D_
_x000D_
In the context of the five review elements, please _x000D_
evaluate the strengths and weaknesses of the proposal with respect to broader impacts._x000D_
_x000D_
+Better and more practical mechanisms for many real-world applications_x000D_
+ Great outreach and applications of research results (see below)_x000D_
_x000D_
Please evaluate the strengths and _x000D_
weaknesses of the proposal with respect to any additional solicitation-specific review criteria, if _x000D_
applicable_x000D_
_x000D_
Great integration of research and education: curriculum development, student advising, outreach to K-12 students, and improvement on Drexel co-op matching. _x000D_
_x000D_
_x000D_
Summary Statement_x000D_
_x000D_
A fine proposal but with a slightly spread-out focus._x000D_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</si>
  <si>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is a strong and interesting proposal which will investigate a number of questions around mechanism design and resource allocation in large distributed systems.  There are a large number of topics covered and the PI has identified a good number of interesting questions that are non-overlapping and could inform each other. I would have liked to see a bit more focused list of topics, diving a bit deeper into each one.  As it stands the proposal spans a large number of questions (which isn't bad) but focusing down a bit more would be good._x000D_
_x000D_
2. To what extent do the proposed activities suggest and explore creative, original, or potentially transformative concepts?_x000D_
_x000D_
The ideas are creative, though in some cases they are incremental or amount to important yet obvious directions I like it overall.  There is a good mix of questions which are more ambitious and ones where progress extending the PIs previous work can almost for sure be made._x000D_
_x000D_
3. Is the plan for carrying out the proposed activities well-reasoned, well-organized, and based on a sound rationale? Does the plan incorporate a mechanism to assess success?_x000D_
_x000D_
The plan is well reasoned in so far as that there are a number of questions that are identified and these are not all overlapping.  Hence, the research questions are organized in such a way as to not block each other._x000D_
_x000D_
4. How well qualified is the individual, team, or institution to conduct the proposed activities?_x000D_
_x000D_
The PI is well qualified and has a long track record of specific contribution to the areas of resource allocation and mechanism design._x000D_
_x000D_
5. Are there adequate resources available to the PI (either at the home institution or through collaborations) to carry out the proposed activities?_x000D_
_x000D_
There are adequate resources at the institution.  The PI also has a good track record of working with outside groups that can help to support the main research threads._x000D_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overall research is interesting and has a strong opportunity to convert into broad impacts both at Drexel and the wider research and teaching communities.  The PI has identified good opportunities at home institution to translate research to impact and taken initiative to get these underway.  The proposed teaching is good but maybe there are also opportunities to teach cross disciplinary / cross listed classes?_x000D_
_x000D_
2. To what extent do the proposed activities suggest and explore creative, original, or potentially transformative concepts?_x000D_
_x000D_
The application areas identified by the PI are interesting and creative.  He has identified interesting opportunities at his home institution to apply his research and the ideas are potentially transformative for students at Drexel._x000D_
_x000D_
3. Is the plan for carrying out the proposed activities well-reasoned, well-organized, and based on a sound rationale? Does the plan incorporate a mechanism to assess success?_x000D_
_x000D_
The PI has laid an impressive amount of groundwork in terms of outreach at Drexel and other avenues.  There are specific outcomes that are identified along several measures of success for the PI to evaluate his plan._x000D_
_x000D_
4. How well qualified is the individual, team, or institution to conduct the proposed activities?_x000D_
_x000D_
The individual is well qualified to undertake the specified broader impacts work.  He has a track record of delivering research results, hosting outreach events at NYU, and teaching (including remote teaching) which will help him._x000D_
_x000D_
5. Are there adequate resources available to the PI (either at the home institution or through collaborations) to carry out the proposed activities?_x000D_
_x000D_
Working to improve the Co-Op program, and having a letter of cooperation already in place, shows that there is strong opportunity to convert the research to practice at the home institution. I am a bit worried about the amount of commitment for the proposed Splash! program.  One summer month in addition to the quite ambitious research proposal seems a bit light.  _x000D_
_x000D_
_x000D_
Please evaluate the strengths and _x000D_
weaknesses of the proposal with respect to any additional solicitation-specific review criteria, if _x000D_
applicable_x000D_
_x000D_
_x000D_
_x000D_
Summary Statement_x000D_
_x000D_
A strong proposal which looks at interesting aspects of mechanism design and resource allocation.  The PI has a strong track record of research success and has identified unique ways to translate this research to impact at his home institution and beyond._x000D_
_x000D_
_x000D_
</t>
  </si>
  <si>
    <t xml:space="preserve">In the context of the five review elements, please _x000D_
evaluate the strengths and weaknesses of the proposal with respect to intellectual merit._x000D_
_x000D_
This proposal seeks to develop a theme of research around mechanisms without money and to create a "coherent theory or systematic approach".  The key insight that this is built upon is a new ability (from the PI in 2012) to create money burning mechanisms that can replicate VCG payments in the case that the agents utility functions are homogenous (utility scales with provisions) but maximizes NSW instead of SW.  The author makes a compelling case, that this is likely worthy undertaking.  First, it seems like a pretty fundamental question in mechanism design; second, it may have broader applications.  _x000D_
_x000D_
This proposal seeks to take this in several new directions: 1) it studies some computational problems in the space; looks to extend the result to where the goods cannot be burned; looks at matching markets; and computational environments.  One theme that runs through the proposal is looking at NSW (the product of the utilities) rather than SW the sum.  This provides a natural "fairness" guarantee, which is quite nice in several of the settings._x000D_
_x000D_
The plan seems reasonable, but I think some of the directions are much more compelling than others._x000D_
_x000D_
Question 3.2ùsubmodular + NSW; 3.4: truthful matching NSW better than trivial; 3.7 applications to scheduling; PoA in distributed systems especially 3.9. all seem like very nice questions.  Some of the others, I found less compelling.  _x000D_
_x000D_
There is still enough meat in the propose content to carry forward a solid 5 years  of research.  _x000D_
_x000D_
The team is qualified with adequate resourses.  _x000D_
_x000D_
_x000D_
Extra notes:_x000D_
_x000D_
The proposal seems very related to Braess's Paradox.  In this case burning resources helps in equilibrium.  Perhaps this is a useful observation._x000D_
_x000D_
Some faults: _x000D_
_x000D_
_x000D_
It is not clear how well the approaches laid out with match with security concerns.  For example, what would requesting a bunch of services effectively produce a DoS attack by both taking up and burning resources?  With sharing caches, is security an issue?  _x000D_
_x000D_
Some of the directions proposed seem either incremental or well-trodden with no especially new or likely to work ideas : 3.1 the proof idea does not seem compelling; cake-cutting direction is pretty vagueùthe author correctly (in my opinion) identifies that the current approaches are not compelling, but then there remains little clear directly left, Question 3.3 seems unlikely to work out in light of GibbardûSatterthwaite impossibility, _x000D_
_x000D_
Question 3.5 seems like it may be more different than anticipated.  The stable matching algorithms give first pick to the "good' students (or at least desired ones).  In this sense they seem either more "fair" or "less fair" depending on the definition of fair.  It is not clear that the proposal understands this trade-off._x000D_
_x000D_
I would be interesting to use your data to look at the recent work of Yash Kanonoi which asks if the male optimal/pessimal stable matchings are really different in practice.  _x000D_
_x000D_
My impression is that in real-life systems fairness is an "on-line" problem.  Agents have different desires or resources at different times and these can be traded off.  For example, maybe you need a lot of memory now, but I need it in an hour.  This would be an additional directly to investigate.  _x000D_
_x000D_
_x000D_
In the context of the five review elements, please _x000D_
evaluate the strengths and weaknesses of the proposal with respect to broader impacts._x000D_
_x000D_
The research, if successful, will help to employ mechanism design in a wider range of fields were money is not present._x000D_
_x000D_
Please evaluate the strengths and _x000D_
weaknesses of the proposal with respect to any additional solicitation-specific review criteria, if _x000D_
applicable_x000D_
_x000D_
I like the coop-matching idea. (Just a warning that you should look into whether you need IRB approval to work with this data.)  _x000D_
The research will be integrated into the Pis cirriculum development efforts and his proposes a new seminar series for Drexel PhDs.  _x000D_
Additionally the PI has a history of reaching out to student's through SPASH! And proposes to do so at his new institution.  _x000D_
I do not think that the proposal made as compelling case for the application of some of these results as it could have.  For example, the memory sharing research direction: does this really have application?  Are programs using the same core ever sharing the same data, but not the same incentives?  It would be great to provide some evidence that this actually happens.  I do not have the expertise to know.  _x000D_
_x000D_
_x000D_
Summary Statement_x000D_
_x000D_
The overarching research direction is compelling.  It has some strong components, but others seems like novel or likely to succeed.   I wish the applications were either better argued (or it was conceded that they are still in the future).   The educational component is adequate but not overzealous.  The PI has a history reaching out, and the modest proposals will likely be carried out with some success and impact.   _x000D_
Notes: I found the proposal a little rambling at the beginning.  Could be more to the point.  But it later caught its stride.  _x000D_
_x000D_
_x000D_
</t>
  </si>
  <si>
    <t>As the world becomes increasingly interconnected, this enables resource sharing at unprecedented levels. Every day, human and software agents compete for an extremely diverse set of resources, ranging from the computational resources (CPU, memory, or bandwidth) of a computer network that its users share, to the airport runways and the airspace that airline companies share. Were it not for appropriate mechanisms that define the rules and protocols governing these resource allocation processes, massive amounts of social utility would be wasted; hence, it is imperative that these mechanisms are designed to the highest standard. Some of the optimization problems involved in designing such resource allocation mechanisms can be highly demanding from a computational standpoint. In reality, the design process can be even more challenging, as the agents competing for these resources are strategic and have their own interests at heart. _x000D_
_x000D_
This proposal approaches such resource allocation problems from the perspective of the designer who chooses the rules of a resource allocation mechanism, aiming to achieve fair and efficient outcomes, despite the strategic behavior of the participating agents. The long literature on game theory and mechanism design has produced several important tools that can be used to inform the design process, but most of these tools depend heavily on the use of monetary payments. The special focus of this proposal is on settings where monetary payments are either undesirable, impractical, or infeasible. Despite the prevalence of this constraint within computing environments, and beyond, there is no coherent theory for guiding the designer's choices._x000D_
_x000D_
The proposed research aims to bridge the gap between the classic literature on mechanism design and the problems that arise in the absence of monetary transfers by uncovering structural properties of the latter that can be used to apply techniques from the former. The problems will be approached through the lens of approximation: if maximizing the desired fairness or efficiency objective is impossible due to either incentive or computational constraints, the proposed solutions will be evaluated using worst-case approximation guarantees.This project will lay the foundations toward a unifying theory for the design and analysis of mechanisms that cannot use monetary payments. Also, by drawing structural connections to the classic literature on mechanism design, the research will enable the translation of celebrated results and techniques from this literature to the less understood context of money-free mechanisms. Apart from evaluating mechanisms in existing models using established benchmarks, the proposed research will contribute novel benchmarks, as well as new models for well-motivated money-free domains.This project will have a broader impact on the effectiveness of money-free markets in general, and the co-op market at Drexel University in particular. The theoretical foundations provided by the proposed research will enable the design of mechanisms that can afford to elicit more meaningful information from the participating agents without worrying about incentive issues that can lead to market failure.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 The PI also plans to prepare a tutorial on the unifying structure in mechanism design without money, which can be presented at a major conference in order to disseminate these research results and directions. Beyond the broader impacts of the research, the PI is dedicated to the integration of research and teaching, and to outreach initiatives or initiatives that foster collaboration and create a better connected research community at Drexel.</t>
  </si>
  <si>
    <t>1751181</t>
  </si>
  <si>
    <t>Young</t>
  </si>
  <si>
    <t xml:space="preserve"> Panel Summary       
 Description: _x000D_
This proposal studies contention resolution algorithms for wireless networks. _x000D_
It aims to develop a unifying theory of contention resolution where multiple devices must coordinate in a decentralized way to get access to a shared communication channel.  It addresses in a fairly comprehensive manner various issues in the design and implementation of contention resolution algorithms with regards to throughput, traffic, cooperation, resource costs, prioritization (QoS issues), and jamming resistance. One key goal is to improve on mechanisms such as the classical binary exponential back-off (BEB). _x000D_
_x000D_
_x000D_
Intellectual Merit: _x000D_
Strengths_x000D_
  + This proposal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 The proposal is very well written and presented._x000D_
 + The panel appreciates the PI's effort on developing theory and algorithms for a very applied domain._x000D_
  +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design, analyze, and implement and study new and improved contention resolution algorithms in wireless networks. _x000D_
  + The PI has published significant papers to back up his credentials in the area (STOC 2016, SODA 2016, SPAA 2017, SPAA 2014, PODC 2011) and is extremely well-qualified to undertake this research._x000D_
 + There are adequate resources available to PI to carry out this research._x000D_
  _x000D_
Weaknesses_x000D_
  - More technical details regarding approaches, e.g., elaborating how the STOC 2016 paper relates to the proposed problems will improve the proposal._x000D_
  -  Some references listed are not complete with missing data._x000D_
- There is concern about how this work will impact networking in practice. _x000D_
- Designing contention-resolution algorithms under the adversarial-arrival model may not have good performance in the practical systems. _x000D_
- It will be good to explain why the proposed simple models capture important aspects of the real network problems. _x000D_
- It will be good to explicitly flesh out theory techniques that will come out of this proposal._x000D_
- The main application domain is networking, but the PI does not have prior publications in networking._x000D_
_x000D_
_x000D_
Broader Impact: _x000D_
Strengths_x000D_
  +  Excellently written broader impacts and contributions which are nicely integrated with research throughout the proposal. In particular, the educational aspects of the proposal are strong which are listed separately under various key research directions. _x000D_
+ The PI comes from a EPSCoR state and Mississippi State University (MSU) has a student population with diverse educational backgrounds. Funding from this project will likely support a female MSU PhD student who is currently advised by the PI. _x000D_
+ Improved contention resolution algorithms are very important and this proposal also explores the practical aspects of it. This can have a big impact in networking._x000D_
 + The PI will develop course works that will include results from his research. The PI will involve undergraduates in research. _x000D_
_x000D_
  _x000D_
Weaknesses_x000D_
  - None_x000D_
_x000D_
Solicitation-specific criteria: _x000D_
The integration of education and research is extremely well done._x000D_
_x000D_
Data Management Plan: _x000D_
Adequate._x000D_
_x000D_
Suggestions to PI: _x000D_
The most significant broader impact is in the networking area. The PI should _x000D_
disseminate his work in networking venues (such as INFOCOM) in addition to the theory (or distributed algorithms) community. Input  (and possible collaboration) from networking researchers will further strengthen the proposal. The proposal will also be strengthened by making it more technical. The panel appreciates the work by the PI in publishing in top venues such as STOC and SODA in an applied domain (which is challenging)._x000D_
_x000D_
_x000D_
Justification for Panel Rating:  This is a very well-written and presented proposal addressing a topic that is fundamental to networking, namely contention resolution, in a theoretically rigorous framework motivated by practical applications.  The PI has very good publications in the area and is well-qualified to undertake this research. However, one concern is the real impact to networking. The broader impact and education plan is very well written._x000D_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</si>
  <si>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considers the future of networks where there are many devices seeking access to a shared communication channel and proposes basic models and algorithms for solving this coordination problem. _x000D_
_x000D_
I appreciate the PI's effort on developing theory and algorithms for a very applied domain. This is inherently challenging. However, reading the proposal, I think the models may be too simple to capture the important aspects of the real network problems and hence theory and algorithms developed in such models may not be of practical impacts. I see that there are two ways to strengthen this proposal: one is to focus on the network problems and use multiple approaches (theory, simulation and experiments) to seek practical impacts; the other is to keep the proposal mostly theoretical, but demonstrate the importance of solving the theoretical problems from multiple domains. _x000D_
_x000D_
_x000D_
In the context of the five review elements, please _x000D_
evaluate the strengths and weaknesses of the proposal with respect to broader impacts._x000D_
_x000D_
+ Some potential practical implications on designing the future of networks_x000D_
_x000D_
_x000D_
Please evaluate the strengths and _x000D_
weaknesses of the proposal with respect to any additional solicitation-specific review criteria, if _x000D_
applicable_x000D_
_x000D_
Reasonable integration of research and education: curriculum improvement and graduate and undergraduate advising. _x000D_
_x000D_
_x000D_
Summary Statement_x000D_
_x000D_
A proposal on an interesting topic, but need improvement on several aspects._x000D_
_x000D_
</t>
  </si>
  <si>
    <t xml:space="preserve">In the context of the five review elements, please _x000D_
evaluate the strengths and weaknesses of the proposal with respect to intellectual merit._x000D_
_x000D_
Strengths:_x000D_
_x000D_
This proposal is in the area of networking. The PI proposes to develop better algorithms for contention resolution. In particular, the goal is to improve on mechanisms such as binary exponential back-off (BEB)._x000D_
_x000D_
Some proposed algorithms improve the metric of contention window slots, however the total transmission time is not reduced. The PI has also proposed a Best-of-k algorithm that sends small dummy packets to sense collision._x000D_
This idea of sending dummy packets to reduce the cost of collision is intriguing._x000D_
The Best-of-k algorithm seems to outperform Binary exponential backoff (BEB) in NS3_x000D_
simulations._x000D_
_x000D_
The PI has formulated research problems quite concretely._x000D_
_x000D_
The PI has made important contributions in the area with publications in_x000D_
good conferences.There are adequate resources available to PI._x000D_
_x000D_
_x000D_
Weaknesses:_x000D_
_x000D_
The problem studied is quite old -- access to a shared medium._x000D_
The simulation results on NS3 show that the binary exponential backoff_x000D_
outperforms LLB. There is no clear argument that strtegies other than BEB may be_x000D_
better in terms of total time._x000D_
_x000D_
Prioritization of traffic has been studied in the networking community for quite some time. It is not clear that practical benefits will ensue from the proposed project._x000D_
_x000D_
Designing contention-resolution algorithms under the adversarial-arrival model_x000D_
may not have good performance in the practical systems._x000D_
_x000D_
_x000D_
_x000D_
_x000D_
_x000D_
In the context of the five review elements, please _x000D_
evaluate the strengths and weaknesses of the proposal with respect to broader impacts._x000D_
_x000D_
Strengths:_x000D_
_x000D_
Mississippi is EPSCoR state. The project will fund a female student._x000D_
_x000D_
Recommendation:_x000D_
The most significant broader impact is in the networking area. The PI should_x000D_
disseminate his work in those avenues in addition to the theory (or distributed algorithms) community._x000D_
_x000D_
Please evaluate the strengths and _x000D_
weaknesses of the proposal with respect to any additional solicitation-specific review criteria, if _x000D_
applicable_x000D_
_x000D_
_x000D_
_x000D_
Summary Statement_x000D_
_x000D_
The proposal is good but can benefit by interaction with networking community._x000D_
_x000D_
</t>
  </si>
  <si>
    <t xml:space="preserve">In the context of the five review elements, please _x000D_
evaluate the strengths and weaknesses of the proposal with respect to intellectual merit._x000D_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resistance._x000D_
Strengths:_x000D_
_x000D_
1.	This is an excellent proposal, one of the best written ones I have seen._x000D_
It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_x000D_
2.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desingn, analyze, and implement and study contention resolution algorithms in wireless networks._x000D_
_x000D_
3.	The PI has published significant papers to back up his credentials in the area (STOC 2016, SODA 2016, SPAA 2017, SPAA 2014, PODC 2011)._x000D_
_x000D_
_x000D_
Weaknesses:_x000D_
1.	I would like to see more details in the technical details regarding approaches, e.g., elaborating how the STOC 2016 paper relates to the proposed problems._x000D_
2.	Some references listed are not complete with missing data.  _x000D_
_x000D_
_x000D_
In the context of the five review elements, please _x000D_
evaluate the strengths and weaknesses of the proposal with respect to broader impacts._x000D_
_x000D_
Strengths:_x000D_
_x000D_
1.	Excellently written broader impacts and contributions which are nicely integrated with research throughout the proposal. In particular, the educational aspects of the proposal are strong which are listed separately under various key research directions._x000D_
2. The PI comes from a EPSCoR state and Mississippi State University (MSU) has a student_x000D_
population with diverse educational backgrounds. Funding from this project will likely support a  female MSU PhD student who is currently advised by the PI._x000D_
2.	Improved contention resolution algorithms are very important and this proposal also explores the practical aspects of it. This can have a big impact in networking._x000D_
_x000D_
Weaknesses:_x000D_
None._x000D_
_x000D_
_x000D_
_x000D_
_x000D_
Please evaluate the strengths and _x000D_
weaknesses of the proposal with respect to any additional solicitation-specific review criteria, if _x000D_
applicable_x000D_
_x000D_
The integration of education and research is extremely well done._x000D_
_x000D_
Summary Statement_x000D_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 The project is timely and the issues are fleshed out very well with a clear research agenda. All in all a very strong proposal._x000D_
_x000D_
_x000D_
_x000D_
</t>
  </si>
  <si>
    <t xml:space="preserve">In the context of the five review elements, please _x000D_
evaluate the strengths and weaknesses of the proposal with respect to intellectual merit._x000D_
_x000D_
The proposal aims to develop a unifying theory of contention resolution where multiple devices must coordinate in a decentralized way to get access to a shared communication channel. It will develop new algorithms for optimizing throughout, managing arbitrary traffic, under various models of cooperation, with bandwidth and energy constraints, allowing prioritization of certain traffics, guarantees under adversarial model etc. _x000D_
_x000D_
The proposal is well-written, however, it is not clear what new theoretical techniques will come out from this work._x000D_
_x000D_
In the context of the five review elements, please _x000D_
evaluate the strengths and weaknesses of the proposal with respect to broader impacts._x000D_
_x000D_
The PI will develop course works that will include results from his research. The PI will involve undergraduates in research. The outcome of this work may have impact in industry._x000D_
_x000D_
Please evaluate the strengths and _x000D_
weaknesses of the proposal with respect to any additional solicitation-specific review criteria, if _x000D_
applicable_x000D_
_x000D_
_x000D_
_x000D_
Summary Statement_x000D_
_x000D_
In summary, this is a well-written proposal. It is unclear what substantial new theoretical results will come out of this. The proposal may be interesting to the networking community._x000D_
_x000D_
</t>
  </si>
  <si>
    <t>Future networks promise ubiquitous connectivity provided by large-scale systems densely populated by resource-constrained wireless devices. While this is an exciting vision, it also motivates us to revisit a fundamental challenge: how do we coordinate access by multiple devices to a shared communication channel? _x000D_
	_x000D_
This is the problem of contention resolution and it is an enduring issue with various solutions implemented in communications standards spanning the past four decades. Surprisingly, despite this track record, our understanding of even basic metrics -- such as worst-case expected throughput -- is incomplete. Furthermore, the demands of future networks will require confronting a range of concerns for which current solutions provide few rigorous guarantees. In light of these issues, a better understanding of the theory underlying the design and analysis of contention-resolution algorithms is warranted.Let time be discretized into slots, each of which can accommodate a packet. Initially, there are a set of stations, each with a packet to send on a shared channel where in a slot: (i) if a single station sends, then its packet succeeds, (ii) else, if two or more stations send, their packets fail, and the stations learn they must retry later.  There is no central authority or scheduler. How many slots are required for all packets to succeed?_x000D_
	_x000D_
This is a natural question about simple traffic -- a single burst of packets -- and yet our understanding of this basic scenario is incomplete. Along similar lines, aspects of popular contention-resolution mechanisms already deployed in modern-day networks deserve study,  both the single-burst case and under an arbitrary (worst-case) packet-arrival distribution._x000D_
	_x000D_
Given that future networks will be densely populated by resource-constrained devices, our solutions must impose only a small cost in terms of energy and bandwidth. In this context, we investigate contention resolution when packets have differing levels of priority, or in scenarios with multiple channels and multi-hop routing. Finally, motivated by increasingly common attacks on wireless networks, we explore solutions with performance guarantees under adversarial scenarios._x000D_
	_x000D_
While our primary goal is the design and analysis of new contention-resolution algorithms, we integrate applied work in order to validate our abstract models and solutions.Developments in manufacturing, industry, and communications standards are driving the next generation of networks. This evolution is anticipated to result in tens of billions of consumer-market devices becoming connected over the next five years. Addressing the performance and security of these massive-scale systems has obvious economic and societal impact._x000D_
	_x000D_
Mississippi is an EPSCoR state. Funding from this project will likely support a promising  PhD student, Mercy Jaiyeola; she is currently advised by PI Young. This project will also provide opportunities for undergraduate students to work on challenging aspects of the project.</t>
  </si>
  <si>
    <t>1751234</t>
  </si>
  <si>
    <t>Bhaskara</t>
  </si>
  <si>
    <t xml:space="preserve"> Panel Summary       
 Description: _x000D_
_x000D_
The main goal of the proposal is to improve our understanding of the complexity landscape of learning, specifically the tradeoffs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  The first two of these are applied to mixture of Gaussian models and the third to dictionary learning, non-negative factorization, and subspace clustering.  _x000D_
_x000D_
_x000D_
 _x000D_
_x000D_
_x000D_
Intellectual Merit: _x000D_
_x000D_
Strengths_x000D_
  + The problems are pretty well-scoped within each of these areas.  _x000D_
  + The concrete paths forward are proposed._x000D_
  + The PI has a strong track-record in the area._x000D_
  + Connection to algebraic geometry is appealing.  _x000D_
_x000D_
Weaknesses_x000D_
  - The panel was concerned that the proposal lacks an exciting overarching vision._x000D_
_x000D_
Broader Impact: _x000D_
_x000D_
Strengths_x000D_
  + As data science is exploding, if successful, the impact of this research would likely be wide reaching_x000D_
 + Would help the PI continue to improve the graduate courses_x000D_
 + PI would develop mini-surveys to deciminate core new research_x000D_
 + PI would organize local workshop on learning._x000D_
_x000D_
 _x000D_
Solicitation-specific criteria: _x000D_
PI would improve the graduate courses he is teaching, he would develop "mini-surveys" about the techniques here, continue to mentor graduate and undergraduate students, and organize a local workshop on learning._x000D_
_x000D_
_x000D_
Data Management Plan: adequate._x000D_
_x000D_
_x000D_
Suggestions to PI: Spend less space on some of the individual approaches and instead show how these stepes will cohere into something greater.  It is also good to highlight a few broader connections between fundamental problems and the rest of the field.  _x000D_
A better argument for why progress like likely to occur now.   _x000D_
_x000D_
Justification for Panel Rating:  Proposal lays out nice individual problems to tackle from a very qualified PI, but lacks exciting cohesive vision of research.  Broader impacts was adequate._x000D_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</si>
  <si>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concerns several algorithmic topics in machine learning. _x000D_
Three main directions proposed are:_x000D_
_x000D_
(1) Identifiability, given samples from a probabilistic model, find the model parameters in a computationally efficient manner and with small sample complexity. The proposed work is to develop  new techniques based on the method of moments and tensors._x000D_
_x000D_
(2) Learning in the presence of noise, in particular addressing the types of estimation questions above in the presence of various types of noise._x000D_
_x000D_
(3) Addressing matrix factorization questions (including dictionary learning and non-negative matrix factorization) under weaker (but not worst case) assumptions compared to prior work._x000D_
_x000D_
These are all important questions and the PI has prior work on these topics that make him uniquely qualified to tackle them._x000D_
_x000D_
In the context of the five review elements, please _x000D_
evaluate the strengths and weaknesses of the proposal with respect to broader impacts._x000D_
_x000D_
The education and broader impact component includes organizing a yearly workshop on theory and practical aspects of learning at the PI  institution, as well as new courses and mini-surveys for various topics._x000D_
_x000D_
_x000D_
Please evaluate the strengths and _x000D_
weaknesses of the proposal with respect to any additional solicitation-specific review criteria, if _x000D_
applicable_x000D_
_x000D_
_x000D_
_x000D_
Summary Statement_x000D_
_x000D_
This proposal concerns several algorithmic topics in machine learning: identifiability, learning in the presence of noise, and more broadly applicable matrix factorization algorithms. These are all important questions and the PI has prior work on these topics that make him uniquely qualified to tackle them. The education and broader impact component is strong._x000D_
_x000D_
</t>
  </si>
  <si>
    <t xml:space="preserve">In the context of the five review elements, please _x000D_
evaluate the strengths and weaknesses of the proposal with respect to intellectual merit._x000D_
_x000D_
The main goal of the proposal is to improve our understanding of the complexity landscape of learning, specifically the tread-offs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assumptions._x000D_
_x000D_
For (1), the PI proposes to develop the existing moment based method  for parameter identification and gives a detailed approach with many new ideas how this will be done.  _x000D_
_x000D_
For (2), the PI proposes to handle various different types of noise like sample corruption, distribution corruption etc.  For example, if we have polynomially many samples from a data distribution that is epsilon close to mixture of well-separated Guassians, is it possible to recover the data distribution again with some epsilon' distance? The PI will study how the separation required in the noisy case differs from the noiseless case and extension of moment based method._x000D_
_x000D_
For (3), the PI proposes to not consider any structural assumptions but obtain weaker yet interesting guarantees. Here the PI will study important problems like Dictionary learning or sparse coding, non-negative matrix factorization etc. _x000D_
_x000D_
Summary of strength and weakness: The proposal is well-written by a qualified PI. The questions are interesting and detailed approach has been provided to tackle them._x000D_
_x000D_
In the context of the five review elements, please _x000D_
evaluate the strengths and weaknesses of the proposal with respect to broader impacts._x000D_
_x000D_
The PI plans to integrate the outcome of the research into the courses that he will be developing. The PI will also organize workshops on insights in learning, for which budget has been allocated for speaker travel. The workshop will be co-located with Utah Data Science Day._x000D_
_x000D_
Please evaluate the strengths and _x000D_
weaknesses of the proposal with respect to any additional solicitation-specific review criteria, if _x000D_
applicable_x000D_
_x000D_
_x000D_
_x000D_
Summary Statement_x000D_
_x000D_
The proposal lays out few important problems in theoretical machine learning with viable pathway for making progress. The PI is well-positioned for performing the proposed research._x000D_
_x000D_
</t>
  </si>
  <si>
    <t xml:space="preserve">In the context of the five review elements, please _x000D_
evaluate the strengths and weaknesses of the proposal with respect to intellectual merit._x000D_
_x000D_
The author proposes a program to study questions in theoretical machine learning under 3 general topics:_x000D_
1)	Identifiability of general models;_x000D_
2)	Learnability under noise_x000D_
3)	low-expectations applied to learning theory.  _x000D_
_x000D_
The problems are pretty well-scoped within each of these areas.  _x000D_
_x000D_
In the first area, the main goal is to understand when the moment generating functions (of low moments) can identify mixtures of Guassians.  For example, what is the relationship between dimension and number of mixtures that can be IDed with 3 moments?  The PI proposes both SoS and an algebriac geometry approach.  The latter would be especially nice if it worked out, as it would add a new tool to TCS.  He also has most robust (wrt error) versions of the problem. _x000D_
_x000D_
In the second area, the proposal sticks with mixtures of Gaussians, but proposes to study several popular error models.  This is the most well-developed part of the proposal, and posits several interesting directions for a very challenging space.  In particular, reasoning about the robustness of SDPs.  _x000D_
_x000D_
The third trust is not about mixtures of Gaussians, but rather dictionary learning, non-negative factorization, and subspace clustering.   That is we would like to (approximately) represent many different vectors in a sparse way over a small bases.  The goal is to find the basis.  The goal here is to relax the problem to approximation and bi-critera (larger vectors, less sparsity).  _x000D_
_x000D_
The activities are novel and well worth pursuing.  The PI lays out interesting approaches (especially for the first two).  The proposed work is well thought out.  While I do like how there are great details for the first problems to be worked on.  It would also be nice to get a better vision of where this research is headed.  _x000D_
_x000D_
The claim is that these problems are very fundamental, and that progress will have wide-reaching impacts.  It would be great if this were further-flushed out (e.g. how important is mixture of Gaussians, why?).  _x000D_
_x000D_
The PI is well qualified and have available resources to undertake this project.  _x000D_
_x000D_
_x000D_
_x000D_
In the context of the five review elements, please _x000D_
evaluate the strengths and weaknesses of the proposal with respect to broader impacts._x000D_
_x000D_
As data science is exploding, if successful, this impacts of this research would likely be wide reaching.  A particularly neat connection would be the invention of a more computational approach to algebraic geometry problems._x000D_
_x000D_
Additionally, this would help the PI continue to improve the graduate courses he is teaching, he would develop "mini-surveys" about the techniques here, continue to mentor graduate and undergraduate students, and organize a local workshop on learning.  _x000D_
_x000D_
_x000D_
Please evaluate the strengths and _x000D_
weaknesses of the proposal with respect to any additional solicitation-specific review criteria, if _x000D_
applicable_x000D_
_x000D_
_x000D_
The outreach and education plan seems to focus on develop "mini-surveys" about the techniques here, continue to mentor graduate and undergraduate students, and organize a local workshop on learning.  _x000D_
_x000D_
_x000D_
Summary Statement_x000D_
_x000D_
This proposal tackles fundamental problems at the forefront of data science.  However, it would be even better if it were better linked to an overarching view.  The educational/outreach plan is serviceable._x000D_
_x000D_
</t>
  </si>
  <si>
    <t xml:space="preserve">In the context of the five review elements, please _x000D_
evaluate the strengths and weaknesses of the proposal with respect to intellectual merit._x000D_
_x000D_
The PI proposes to pursue three general directions in theoretical machine learning: identifiability of generative models, learnability under model noise, and learning in more general settings.  These are important questions, and the PI has made some progress. However, his most relevant publications are from 2014 or before. (He lists two more recent publications too, but they were non-theory venues and he doesn't really reference them in the proposal; he also has recent unpublished work.) Therefore, it's unclear to me why to expect big advances now._x000D_
_x000D_
_x000D_
In the context of the five review elements, please _x000D_
evaluate the strengths and weaknesses of the proposal with respect to broader impacts._x000D_
_x000D_
Learning has many applications, and the PI has a history of collaborating with industrial researchers. The PI also has an education and mentoring plan, and plans to organize an annual workshop on theory and practical aspects of learning._x000D_
_x000D_
Please evaluate the strengths and _x000D_
weaknesses of the proposal with respect to any additional solicitation-specific review criteria, if _x000D_
applicable_x000D_
_x000D_
_x000D_
_x000D_
Summary Statement_x000D_
_x000D_
This is a good proposal with interesting questions.  However, the PI's track record may not be strong enough to compete with other applicants._x000D_
_x000D_
</t>
  </si>
  <si>
    <t>As machine learning becomes pervasive in various aspects of our lives, theoretical investigations into accuracy guarantees, noise tolerance, interpretability, privacy, etc. are becoming increasingly important. Ideas from theoretical computer science, statistics, and computational linear algebra are being used to attack these challenges. This has opened up new avenues of research in theory, raising questions of modeling and going beyond the lens of worst-case analysis. The proposal considers fundamental problems in unsupervised learning of modeling and understanding data, and aims to develop new insights on topics ranging from theoretical guarantees on learnability, to practical challenges such as robustness. _x000D_
_x000D_
The three broad directions are:_x000D_
- Identifiability: we will tackle a basic statistical problem, given samples from a probabilistic model, of finding the model parameters. Being able to do this efficiently with small sample complexity has numerous applications. We propose new insights into the method of moments, to understand this basic question._x000D_
- We consider the practical challenge of dealing with modeling noise and outliers. Recent algorithms in learning have good theoretic properties, but are sensitive to errors. We propose new directions in this burgeoning area of research, to design new algorithms and understand complexity aspects that arise due to noise._x000D_
- For basic problems like sparse coding and non-negative matrix factorization, provable guarantees are known only under strong structural assumptions (inevitably so, due to NP-hardness). We propose a different direction: relaxing the assumptions, while obtaining weaker, yet interesting guarantees._x000D_
_x000D_
The common goal in these directions is to improve our understanding of the complexity landscape of learning, specifically the trade-offs between assumptions and guarantees._x000D_
_x000D_
Keywords: learning theory, beyond worst case, robustness in algorithms, generative models, modeling noiseIdentifying the possibilities and limitations of learning is one of the most important research directions in computer science. The problems we propose get to the heart of modeling data and the associated complexity questions. Obtaining efficient algorithms here could have tremendous impact in applications (beyond learning), much like hashing and dimension reduction have in the past. These directions will also develop new theoretical methods for reasoning about noise, and improve our understanding of basic clustering and decomposition questions.The directions studied have a potential to impact any field of science with a modeling component. The technical contributions will bring new collaborations, both from theoretical fields like statistics and algebraic geometry, and from machine learning practitioners. A workshop to induce such interactions is proposed. The PI is also in collaboration with teams in the industry, working to disseminate theoretical insights and help design practical, efficient algorithms. The PI has developed new courses for a new wave of students trained in both theory and learning. Course content will be made accessible via self-contained mini-surveys, to benefit students everywhere.</t>
  </si>
  <si>
    <t>1751254</t>
  </si>
  <si>
    <t>Fasy</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</si>
  <si>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</si>
  <si>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</si>
  <si>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</si>
  <si>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</si>
  <si>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</si>
  <si>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</si>
  <si>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1751416</t>
  </si>
  <si>
    <t>Sitchinava</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</si>
  <si>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</si>
  <si>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</si>
  <si>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</si>
  <si>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</si>
  <si>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</si>
  <si>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</si>
  <si>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1755038</t>
  </si>
  <si>
    <t>Majumdar</t>
  </si>
  <si>
    <t xml:space="preserve"> Panel Summary       
 Description:_x000D_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_x000D_
Intellectual Merit:_x000D_
Strengths_x000D_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 The proposal is cross-disciplinary. It will facilitate flow of ideas from computer science to control theory and vice-versa._x000D_
  + There are adequate resources available to the PI to carry out the proposed activities._x000D_
_x000D_
Weaknesses_x000D_
  - The PI does not compare with what is already known in streaming algorithms and related areas._x000D_
_x000D_
  -  The PI needs to spend more time explaining how the proposed research is novel in terms of problems being solved and techniques required._x000D_
_x000D_
   -It is not clear what contributions in theoretical computer science and algorithms will be possible from this project._x000D_
_x000D_
Broader Impact:_x000D_
Strengths_x000D_
  + The PI plans to make new algorithms for robotic tasks, which is very useful_x000D_
_x000D_
  + K-12 outreach, robotics is good for that_x000D_
_x000D_
  + Undergrad participation, already working with 2 undergrads_x000D_
_x000D_
Data Management Plan:_x000D_
Adequate_x000D_
_x000D_
Suggestions to PI:_x000D_
The proposed research sounds very interesting and important in principle. However, the PI does not have supporting prior work on this topic or on theoretical research in general. Some supporting prior work would make the proposal much more convincing._x000D_
_x000D_
Justification for Panel Rating: _x000D_
PI does not have supporting prior work on algorithmic foundations on this topic. He does have prior work in the robotics area._x000D_
_x000D_
_x000D_
Panel Rating:_x000D_
_ Highly Competitive_x000D_
_ Competitive_x000D_
_ Low Competitive_x000D_
X Not Competitive_x000D_
_x000D_
The summary was read to the panel and the panel concurred that the summary accurately reflects the panel discussion._x000D_
</t>
  </si>
  <si>
    <t>RESIMMO</t>
  </si>
  <si>
    <t>P180307</t>
  </si>
  <si>
    <t xml:space="preserve"> CRII Robotics: Reid</t>
  </si>
  <si>
    <t xml:space="preserve"> Panel Summary       
 The proposed work aims to develop a theory for characterizing the memory complexity of robot perception and control tasks, including finding lower bounds on memory requirements using communication complexity theory and reductions from existing streaming algorithms results. Extensions to streaming algorithms theory will be explored to capture controlled tasks, where the system can take actions that affect the data stream. The algorithms developed will be in the context of perceptual tasks (localization, search, SLAM) for a micro aerial vehicle in simulation and in hardware. _x000D_
_x000D_
_x000D_
INTELLECTUAL MERIT_x000D_
_x000D_
--Strengths_x000D_
- The proposal aims to break new theoretical ground in robotics by building on, and extending, established ideas in streaming algorithms and communication complexity. _x000D_
- The project is well organized and integrates theoretical development with experimental evaluation. _x000D_
- The proposal is very well aligned with the PI's background and long term research agenda. _x000D_
- If successful, this work could have direct implications for a large number of robot perception and control tasks. _x000D_
_x000D_
_x000D_
--Weaknesses_x000D_
- The proposal could be improved by further elaborating on the connection of the proposed theoretical approach to existing perception algorithms (e.g., SLAM) and by laying out the experimental agenda in more detail._x000D_
_x000D_
_x000D_
BROADER IMPACTS, INCLUDING ENHANCING DIVERSITY_x000D_
--Strengths_x000D_
- The question of minimal representations and complexity bounds for robotics tasks is not well understood. Any principled approach to derive such results would significantly impact the field. _x000D_
- The PI plans to involve middle school, high school and undergraduate students through several programs available in his school such as PEEK, PSURE etc. _x000D_
- Efforts will be made to include women and undergraduates in this research.  _x000D_
_x000D_
--Weaknesses_x000D_
- No significant weaknesses identified. _x000D_
_x000D_
_x000D_
_x000D_
ADDITIONAL REVIEW CRITERIA:_x000D_
_x000D_
-- Is the research appropriate for the proposed duration?_x000D_
_x000D_
The research agenda is ambitious for two years. The panel suggests the PI carefully scope the experimental agenda so as to hit all three of the stated research threads. _x000D_
_x000D_
-- Does the project have potential to produce sufficient preliminary results to serve as the basis for future competitive research proposals?_x000D_
_x000D_
Yes, this proposal aims to break new theoretical ground in robotics. The panel suggests that showing concrete results for a specific robotic task will make subsequent proposals competitive. _x000D_
_x000D_
--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insights to inform algorithm design. _x000D_
_x000D_
_x000D_
DEPARTMENT SUPPORT LETTER: _x000D_
_x000D_
The letter verifies the eligibility of the PI. _x000D_
_x000D_
_x000D_
DATA MANAGEMENT PLAN: _x000D_
_x000D_
The data management plan is adequate. _x000D_
_x000D_
_x000D_
POST-DOCTORAL MENTORING PLAN (if applicable): _x000D_
_x000D_
N/A._x000D_
_x000D_
COLLABORATIONS (if applicable): _x000D_
_x000D_
N/A._x000D_
_x000D_
ADDITIONAL SUGGESTIONS: _x000D_
_x000D_
_x000D_
PANEL RECOMMENDATION AND JUSTIFICATION, INCLUDING BRIEF STATEMENT OF KEY STRENGTHS AND/OR CRITICAL WEAKNESSES	_x000D_
_x000D_
The proposal is very well organized and aims to break new theoretical ground by building on insights from communication complexity and streaming algorithms to understand the memory complexity of robotics tasks. In addition to framing robot perception problems in a new light, which may lead to new ways to understand, compare, and design algorithms for robot perception and control tasks, the proposed work aims to extend ideas from streaming algorithms theory to active systems whose behavior can affect the data stream. In addition to theoretical investigations, the proposed work will be grounded in localization, search, and mapping experiments using micro aerial vehicles in simulation and hardware. _x000D_
_x000D_
_x000D_
Ranking (check one)_x000D_
_X_ Highly Competitive_x000D_
__ Competitive_x000D_
__ Low Competitive_x000D_
__ Not Competitive_x000D_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</si>
  <si>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apply streaming algorithms and communication complexity to robotic tasks, in order to form lower bounds on robot memory requirements for various tasks, design new memory-efficient algorithms for robot tasks, and make new computational models for robot tasks (for example instead of streaming algorithms in which you can never go back in a stream, one could choose to go to a previous point in the stream again if desired, essentially forming an array one can access which is too big to store)._x000D_
_x000D_
Strengths:_x000D_
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_x000D_
_x000D_
Weaknesses:_x000D_
_x000D_
- The PI does not compare with what is already known in streaming algorithms and related areas. Is the proposed work to design truly new and innovative streaming algorithms? Or is to only to take existing streaming algorithms, and re-work them for slightly different problems? When proposing new computational models which allow the robot to "backtrack" in the data stream, how is this different from theoretical work on memory-constrained algorithms where the data does not come in a stream, but is given as a large static array or a database? In other words, the PI needs to spend more time explaining how their proposed research is novel in terms of problems being solved and techniques required, and compare with existing algorithmic work, not just work in robotics. It is not clear if the proposed work is a simple extension of existing algorithmic work, or if applying it to robotic tasks would require truly new techniques._x000D_
_x000D_
- For many of the tasks (e.g., looking at time-memory tradeoffs) the PI seems to be mostly proposing to create new models, and does not give much indication of how they plan to analyze these models, or what the issues are with analyzing them._x000D_
_x000D_
_x000D_
Suggestions for Improvement: Providing a more detailed explanation of some preliminary work, and explaining why it is non-trivial and the novel issues that arise in it, would greatly improve this proposal. If space is needed, Section 5 can probably be reduced._x000D_
_x000D_
In the context of the five review elements, please _x000D_
evaluate the strengths and weaknesses of the proposal with respect to broader impacts._x000D_
_x000D_
Strengths:_x000D_
_x000D_
+ The PI plans to make new algorithms for robotic tasks, which is very useful_x000D_
_x000D_
+ K-12 outreach, robotics is good for that_x000D_
_x000D_
+ Undergrad participation, already working with 2 undergrads_x000D_
_x000D_
Please evaluate the strengths and _x000D_
weaknesses of the proposal with respect to any additional solicitation-specific review criteria, if _x000D_
applicable_x000D_
_x000D_
_x000D_
_x000D_
Summary Statement_x000D_
_x000D_
While on an interesting and important topic, this does not feel like research yielding fundamental insights. Providing a more detailed explanation of some preliminary work, and explaining why it is non-trivial and the novel issues that arise in it, would greatly improve this proposal._x000D_
_x000D_
_x000D_
</t>
  </si>
  <si>
    <t xml:space="preserve">In the context of the five review elements, please _x000D_
evaluate the strengths and weaknesses of the proposal with respect to intellectual merit._x000D_
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The proposed research sounds very interesting and important in principle. However, the PI does not have supporting prior work on this topic or on theoretical research in general. Some supporting prior work would make the proposal much more convincing._x000D_
_x000D_
_x000D_
In the context of the five review elements, please _x000D_
evaluate the strengths and weaknesses of the proposal with respect to broader impacts._x000D_
_x000D_
In addition to the strong broader impact of the research itself, the PI plans to engage in several outreach activities, for example to partner with the Princeton Engineering Education for Kids program to organize outreach events for K-12 students where students design LEGO robots that perform basic versions of the tasks discussed in the proposal. Furthermore, the PI plans to actively engage undergraduate students in the simulation and hardware implementation needed for the proposed research._x000D_
_x000D_
Please evaluate the strengths and _x000D_
weaknesses of the proposal with respect to any additional solicitation-specific review criteria, if _x000D_
applicable_x000D_
_x000D_
_x000D_
_x000D_
Summary Statement_x000D_
_x000D_
The goal of this project is to develop principled and general techniques for establishing the memory resources required by a robot in order to perform its task.  _x000D_
_x000D_
The PI does not have supporting prior work on this topic or on theoretical research in general, making it hard to evaluate the nature of the results that are likely to be outcome of this project, if funded._x000D_
_x000D_
</t>
  </si>
  <si>
    <t>XR1007255</t>
  </si>
  <si>
    <t>Clark</t>
  </si>
  <si>
    <t>clark@hmc.edu</t>
  </si>
  <si>
    <t xml:space="preserve">In the context of the five review elements, please _x000D_
evaluate the strengths and weaknesses of the proposal with respect to intellectual merit._x000D_
_x000D_
The research proposed aims to provide new tools for evaluating memory and run-time complexity in robotic systems. The work is motivated by the need to evaluate the applicability of micro scale vehicles embedded with microprocessors to different application tasks. The PI uses a micro air vehicle (MAV) exploration task as a motivating example, and while much of the work will be theoretical in nature, the PI aims to evaluate the theory on an undergraduate student built MAV._x000D_
_x000D_
_x000D_
--Strengths:_x000D_
The PI does a good job motivating the work, both with respect to its relevance to small scale robotic systems, and with respect to it being an unsolved problem with much to gain if solutions are found. The PI proposes to leverage work from other research communities (e.g. work in streaming theory), and demonstrate its potential usefulness as a starting point for determining computational complexity with single and multi-robot systems (i.e. that are subject to communication constraints.)_x000D_
_x000D_
The PI has a strong background and academic preparation that combines engineering and computer science, an appropriate combination for the proposed work._x000D_
_x000D_
_x000D_
--Weaknesses:_x000D_
Some of the starting points neglect how noise affects the system. The problem of checking off if a landmark has been visited is not easy when the correspondence is hard, (due to noisy data). As well, the quality of data in general is not mentioned here, and will likely have a large effect on how much data truly needs to be sensed, stored, and communicated._x000D_
_x000D_
_x000D_
_x000D_
In the context of the five review elements, please _x000D_
evaluate the strengths and weaknesses of the proposal with respect to broader impacts._x000D_
_x000D_
--Strengths:_x000D_
This work could have a large impact on a the field of robotics and embedded systems in general which doesn't always consider such issues. The outreach work with PEEK seems beneficial, although it is unclear how strong the collaboration between the PI and PEAK will be._x000D_
_x000D_
The reader appreciates the PI's intentions to work with PWICS and increase participation from underrepresented student groups._x000D_
_x000D_
_x000D_
_x000D_
--Weaknesses:_x000D_
More work on increasing participation of traditionally underrepresented students is encouraged,_x000D_
_x000D_
_x000D_
Please evaluate the strengths and _x000D_
weaknesses of the proposal with respect to any additional solicitation-specific review criteria, if _x000D_
applicable_x000D_
_x000D_
Adequacy of Data Management Plan:_x000D_
A few more details on the size/format of sensor data would be appreciated. Also, the use of Github is positive for version control and backup. Using an open source approach to data dissemination is also appreciated by the reader._x000D_
_x000D_
Is the research appropriate for the proposed duration?_x000D_
While it is unclear as to whether the PI will be able to rely on a MAV being developed by undergraduates within the 2 year timeframe, the PI has selected a manageable problem that seems in scope. _x000D_
_x000D_
_x000D_
Does the project have potential to produce sufficient preliminary results to serve as the basis for future competitive research proposals?_x000D_
The reader believes that the PI will produce results within the two year time frame that can form the basis of a future proposal. The preliminary ideas seem solid, with many options for exploration and development of formal theorems._x000D_
_x000D_
Are the activities necessary and critical steps for the PI to achieve research independence?_x000D_
The PI spends a page describing how the proposed work fits within the goal to develop 'A Complexity Theory for Robotics'. This is highly appropriate, relevant, and indicates a strong vision._x000D_
_x000D_
Strength of Department Letter_x000D_
The letter of support is adequate but could do more to indicate the department's dedication to the PI's research in terms of providing resources, mentoring, and ability to teach a subject that resonates with the proposal._x000D_
_x000D_
_x000D_
Summary Statement_x000D_
_x000D_
The proposal does a good job demonstrating paths to develop new theory that can find its way to a real world application. The project seems to be a logical step in building towards the PI's vision of establishing 'Complexity Theory for Robotics'. Some more attention should be made to the quality and types of data that may affect the provable bounds the PI is attempting to develop._x000D_
_x000D_
</t>
  </si>
  <si>
    <t xml:space="preserve">In the context of the five review elements, please _x000D_
evaluate the strengths and weaknesses of the proposal with respect to intellectual merit._x000D_
_x000D_
Strengths:_x000D_
The PI proposes to leverage data streaming algorithms for robotics applications.  The project investigates both the lower bounds on space and communication complexity as well as scalable algorithms._x000D_
_x000D_
The proposal is really cross-disciplinary._x000D_
It will facilitate flow of ideas from computer science to control theory and vice-versa._x000D_
_x000D_
The PI proposes to apply the theory developed for algorithms on search and rescue tasks with MAVs._x000D_
_x000D_
The PI is well-qualified to conduct the proposed activity._x000D_
There are adequate resources available to the PI to carry out the proposed activities._x000D_
_x000D_
Weaknesses:_x000D_
_x000D_
1. The proposal does not identify which problems are fundamentally different in robotics and how are they different from the applications studied in theoretical computer science (except in the context of navigation where robots can backtrack)._x000D_
_x000D_
2. The proposal gives an overview of techniques in sketches and communication complexity, but does not identify new insights by the PI that will lead to transformative concepts. _x000D_
_x000D_
3. The proposal does not describe any preliminary work done in proving lower bounds for memory._x000D_
_x000D_
_x000D_
In the context of the five review elements, please _x000D_
evaluate the strengths and weaknesses of the proposal with respect to broader impacts._x000D_
_x000D_
Strengths:_x000D_
The PI has proposed to interact with K-12 outreach program at Princeton. He is co-advising undergraduates._x000D_
_x000D_
The project has potential to impact not just the theory of streaming algorithms but also the area of robotics._x000D_
_x000D_
Please evaluate the strengths and _x000D_
weaknesses of the proposal with respect to any additional solicitation-specific review criteria, if _x000D_
applicable_x000D_
_x000D_
_x000D_
_x000D_
Summary Statement_x000D_
_x000D_
This is a good cross-disciplinary proposal._x000D_
_x000D_
</t>
  </si>
  <si>
    <t>PW0906523</t>
  </si>
  <si>
    <t>Kress-Gazit</t>
  </si>
  <si>
    <t>hadaskg@cornell.edu</t>
  </si>
  <si>
    <t xml:space="preserve">In the context of the five review elements, please _x000D_
evaluate the strengths and weaknesses of the proposal with respect to intellectual merit._x000D_
_x000D_
A brief statement of what the proposal is about:_x000D_
This proposal aims to develop theory and algorithms that reason about memory resources needed by a robot to perform different perceptual tasks. The theory includes finding lower bounds on memory requirements for a task, through reductions from streaming algorithms with known memory lower bounds and communication complexity, and reasoning about memory bounds for robotics tasks that are "active", that is the stream of information is influenced by the actions of the robot. The algorithms developed will be in the context of perceptual tasks for a micro aerial vehicle and will be demonstrated in simulation and in hardware.  _x000D_
_x000D_
--Strengths:_x000D_
This is an ambitious proposal that looks at memory requirements for different robotics perceptual task and thus will pave the way for defining, in a principled way, the (minimal) representations needed by a robot for a task.  _x000D_
This project is well thought out. Focusing on a few tasks, the PI will develop a general theory and specific algorithms, and will demonstrate the results in simulation and hardware. _x000D_
The insight connecting robotic tasks and the required (minimal) representation with streaming algorithms and communication complexity is interesting and will result in a fresh look at an important problem._x000D_
_x000D_
--Weaknesses:_x000D_
The proposal focuses on tasks that are extremely well studied in estimation theory and robotics (localization, SLAMà) but there is no mention of how the project fits into that landscape. Would the lower bounds inform the dimension of the state needed in the filter? Define the state representation?  Would the algorithms developed in this project replace filtering or will they leverage well known filtering techniques?_x000D_
The proposal mentions tasks multiple times but does not discuss the space of tasks, nor defines what a task is in this context. From the detailed aim description, it reads as if the approach is for perceptual tasks. It would have been good to see a paragraph describing how these approaches might, in the future, be used for other types of tasks that require more decision making._x000D_
_x000D_
_x000D_
In the context of the five review elements, please _x000D_
evaluate the strengths and weaknesses of the proposal with respect to broader impacts._x000D_
_x000D_
--Strengths:_x000D_
The question of appropriate representations of robot and environment state suitable for a task is not well understood. Any principled approach to construct such representations would have significant impact on robotics and CPS in general._x000D_
The K-12 outreach looks good._x000D_
_x000D_
--Weaknesses:_x000D_
Similar to what I wrote in the IM section, the connection to estimation theory and filtering is unclear therefore the risk here is that these results will not impact the way people think about representations. _x000D_
_x000D_
_x000D_
Adequacy of Data Management Plan:_x000D_
Open source code and data will be archived on Princeton's  github site with public access. PI has track record in releasing open source code.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The research aims are very ambitious for one student for two years. If the PI focuses on one very specific task, for example the coverage problem, he and his student might be able to get to all three aims._x000D_
_x000D_
_x000D_
Does the project have potential to produce sufficient preliminary results to serve as the basis for future competitive research proposals?_x000D_
Yes. The goals and vision of the project are very ambitious and exciting but not substantiated yet. Showing concrete results for a specific robotic task, demonstrated on an actual hardware system, will make a follow on full proposal competitive. _x000D_
_x000D_
_x000D_
Are the activities necessary and critical steps for the PI to achieve research independence?_x000D_
The PI describes his overall vision and this project fits well with the initial steps toward realizing the vision.  _x000D_
_x000D_
_x000D_
Strength of Department Letter:_x000D_
Letter certifies the PI is eligible for the CRII program._x000D_
_x000D_
_x000D_
Summary Statement_x000D_
_x000D_
Justification of your rating, including a brief statement of the proposal's key strengths and/or critical weaknesses_x000D_
This proposal addresses the important and exciting problem of principled reasoning about appropriate representations for robot tasks. While some questions marks remain, especially the connection to the rich literature of estimation, this proposal may pave the way to a fresh look at this problem. _x000D_
_x000D_
_x000D_
</t>
  </si>
  <si>
    <t>PH1007107</t>
  </si>
  <si>
    <t>Kuindersma</t>
  </si>
  <si>
    <t>scottk@seas.harvard.edu</t>
  </si>
  <si>
    <t xml:space="preserve">In the context of the five review elements, please _x000D_
evaluate the strengths and weaknesses of the proposal with respect to intellectual merit._x000D_
_x000D_
The proposed work aims to harness and extend results from the streaming algorithms literature to derive new approaches for establishing memory requirements for robotics tasks. This work is motivated by robotics applications with constrained memory resources (e.g., small scale MAVs), where the system must maintain a parsimonious representation of the problem (i.e. a 'sketch') that is sufficient to achieve the task. In addition to developing new efficient algorithms for search and rescue tasks, the proposed work aims to use insights from communication complexity to develop a formal framework in which to rank the difficulty of robot tasks. _x000D_
_x000D_
--Strengths:_x000D_
_x000D_
- The proposed work is theoretically well-motivated, novel, and the PI has the right background to successfully carry it out. _x000D_
- The work would fit well into the PI's long-term research agenda. _x000D_
- If successful, this work would lead a new set of theoretical tools to compare and solve a broad set of robotics tasks. _x000D_
- The PI has ample resources available to carry out the proposed work. _x000D_
_x000D_
--Weaknesses:_x000D_
_x000D_
- The PI is proposing to cover a lot of ground in two years. For example, in the timeline year 0.5-1.5 will involve carrying out 3 research threads simultaneously. This may prove difficult given the limited size of the grant. _x000D_
- The experimental agenda is lacking in detail. What experiments will be done on the physical testbeds? Will the proposed algorithms allow more difficult/memory-intensive problems to be solved on these systems?_x000D_
_x000D_
_x000D_
In the context of the five review elements, please _x000D_
evaluate the strengths and weaknesses of the proposal with respect to broader impacts._x000D_
_x000D_
--Strengths:_x000D_
_x000D_
- This work would have implications for a wide variety of robotic and embedded systems. _x000D_
- The PI will make use of an existing K-12 outreach program at Princeton that introduces students to robotics concepts using LEGO Mindstorms kits. _x000D_
- Efforts will be made to include women and undergraduates in this research. _x000D_
_x000D_
--Weaknesses:_x000D_
_x000D_
- No significant weaknesses identified._x000D_
_x000D_
Please evaluate the strengths and _x000D_
weaknesses of the proposal with respect to any additional solicitation-specific review criteria, if _x000D_
applicable_x000D_
_x000D_
Is the research appropriate for the proposed duration?_x000D_
_x000D_
- The proposed research timeline is aggressive, but achievable._x000D_
_x000D_
_x000D_
Does the project have potential to produce sufficient preliminary results to serve as the basis for future competitive research proposals?_x000D_
_x000D_
Yes._x000D_
_x000D_
_x000D_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theoretical insights to inform algorithm design._x000D_
_x000D_
_x000D_
Strength of Department Letter_x000D_
_x000D_
The department letter is satisfactory._x000D_
_x000D_
Summary Statement_x000D_
_x000D_
The proposal is very well written and aims to break new theoretical ground by building on insights from communication complexity and streaming algorithms to understand the storage complexity of robotics tasks. If successful, this work could have impact on a wide variety of systems. The primary weaknesses of the proposal are the lack of detail in the experimental agenda (e.g., what specific tasks will be solved, hypotheses, evaluation methodology?) and a relatively ambitious research timeline. _x000D_
_x000D_
_x000D_
</t>
  </si>
  <si>
    <t>HH1007103</t>
  </si>
  <si>
    <t>Rathinam</t>
  </si>
  <si>
    <t>srathinam@tamu.edu</t>
  </si>
  <si>
    <t xml:space="preserve">In the context of the five review elements, please _x000D_
evaluate the strengths and weaknesses of the proposal with respect to intellectual merit._x000D_
_x000D_
The proposal is about developing fundamental tradeoffs between memory requirements and the amount of time required to accomplish robotics tasks. The work mainly wants to use the results from streaming algorithms theory to answer the fundamental questions._x000D_
_x000D_
--Strengths:_x000D_
The proposal is well written and the proposed approach is explained clearly._x000D_
_x000D_
--Weaknesses:_x000D_
The main drawback of this proposed work lies in the relation between the theoretical problem the PI wants to solve and the actual sensing problem a robot encounters in practice. In a practical application, a robot collects huge amount of data with errors\outliers and a lot of work has to be spent in extracting useful information from this data. Identifying landmarks and labelling them is not easy. The problem of representing this processed data may not directly reduce to the theoretical problem the PI wants to solve. The PI has to further choose a concrete example and a sensor and show how the data collection process reduces to the theoretical problem as proposed in the project._x000D_
_x000D_
Also, the order, O(.), of the computations of some of the algorithms is mentioned. It is important to note that this is a theoretical result and depends on the value of n. For example, even though there are polynomial time algorithms for solving linear programs, we still use implementations of simplex method (that are not polynomial time) in practice._x000D_
_x000D_
In the context of the five review elements, please _x000D_
evaluate the strengths and weaknesses of the proposal with respect to broader impacts._x000D_
_x000D_
--Strengths:_x000D_
The PI plans to involve middle school, high school and undergraduate students through several programs available in his school such as PEEK, PSURE etc. Women and under-represented students will also be involved in small robotic projects advised by the PI._x000D_
_x000D_
--Weaknesses:_x000D_
None._x000D_
_x000D_
Adequacy of Data Management Plan:_x000D_
The PI will publish all the code in github and will make it open source. The data management plan seems adequate._x000D_
_x000D_
Please evaluate the strengths and _x000D_
weaknesses of the proposal with respect to any additional solicitation-specific review criteria, if _x000D_
applicable_x000D_
_x000D_
Is the research appropriate for the proposed duration?_x000D_
Yes._x000D_
_x000D_
_x000D_
Does the project have potential to produce sufficient preliminary results to serve as the basis for future competitive research proposals?_x000D_
Yes._x000D_
_x000D_
Are the activities necessary and critical steps for the PI to achieve research independence?_x000D_
Yes._x000D_
_x000D_
_x000D_
Strength of Department Letter:_x000D_
The letter verifies the eligibility of the PI._x000D_
_x000D_
Summary Statement_x000D_
_x000D_
The proposal deals with tradeoffs between memory requirements and the completion time of the tasks. The theoretical aspects of the algorithms as such is interesting. It is not clear how the problems considered applies to robots in a practical setting._x000D_
_x000D_
</t>
  </si>
  <si>
    <t>What is the minimal representation a robot must create of its environment in order to achieve its task? Are there fundamental tradeoffs between how memory-efficient the representation is and how efficiently the robot can accomplish the task? Unfortunately, even a basic understanding of such fundamental questions concerning the memory requirements for robots is beyond our current grasp. The vast majority of strategies resort either to entirely reactive and memoryless approaches (e.g., reactive obstacle avoidance controllers) or memory-inefficient approaches that build and store accurate geometric representations (e.g., a map of the environment). Motivated by the need for micro aerial vehicles (MAVs) with highly rich perceptual inputs (e.g., vision or laser scans) to conduct long-duration search and rescue missions using limited computational resources, our goal is to develop principled and general techniques for establishing the memory resources required by a robot in order to perform its task. Specifically, this CRII project will investigate: (i) techniques for establishing lower bounds on memory requirements, and (ii) algorithms for creating memory-efficient and task-centric representations for robot tasks. Taken together, these results will form the necessary and critical steps for the PI to pursue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applications.The key insight of this project is to leverage and extend ideas from the theory of streaming algorithms and communication complexity. Originally developed by the theoretical computer science community, these areas have seen a recent explosion in interest due to their ability to elegantly handle and reason about massive data sets in applications such as machine learning, networking, and database search. We establish a connection between streaming problems and robot perception by viewing a robot's sensory inputs as constituting the data stream. This analogy allows us to leverage the powerful techniques for proving lower bounds on memory requirements and also the vast suite of memory-efficient algorithms from the streaming algorithms literature. While the streaming model provides an important starting point, it does not capture a robot's ability to actively influence the appearance of elements in the stream with its actions. We will extend the standard streaming model and also propose models based on communication complexity theory that provide the right abstractions for capturing the memory resources required for robot tasks. We will apply the resulting tools to MAVs with limited computation performing various tasks such as search, exploration, and navigation in search-and-rescue contexts. The proposed project thus brings together a diverse range of ideas in order to propose new models, prove new theorems, develop new algorithms, and enable new applications.This project aims to contribute to the fundamental science of memory-efficient representations for robotics. As such, our goals are well aligned with the NSF RI program's broader goals of enabling and understanding intelligent behavior that addresses progressively richer environments (e.g., large-scale environments such as cities), larger-scale data (e.g., high spatial and temporal resolution sensory inputs), more diverse computing platforms (e.g., lightweight platforms on MAVs), and more sophisticated computation approaches (e.g., streaming algorithms). Beyond robotics, we expect that our advances will be broadly applicable towards the control of large-scale cyberphysical systems (e.g., Smart Cities), where extremely rich sensory data makes memory a precious resource. This project also provides a natural avenue for outreach; specifically, we will partner with the Princeton Engineering Education for Kids program to organize outreach events for K-12 students where students design LEGO robots that perform basic versions of the tasks considered here. Further, the simulation and hardware implementation for this project will be largely driven through undergraduate research participation.</t>
  </si>
  <si>
    <t>1755471</t>
  </si>
  <si>
    <t>Tong</t>
  </si>
  <si>
    <t xml:space="preserve"> Panel Summary       
 Description: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smoothed complexity to create efficient algorithms which have differential privacy guarantees, especially for linear programming and similar problems._x000D_
_x000D_
_x000D_
Intellectual Merit:_x000D_
_x000D_
Strengths:_x000D_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 _x000D_
_x000D_
+ The problems being proposed are about right for the time-frame. _x000D_
_x000D_
Weaknesses_x000D_
_x000D_
- The PI does not give much detail about the specific problems they intend to study, their ideas on how to approach them, any preliminary work, or why this PI specifically is qualified to work on such problems. 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 _x000D_
_x000D_
Broader Impact:_x000D_
_x000D_
The proposed research will be conducted with both undergraduate and graduate students, which will be exposed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Strengths:_x000D_
_x000D_
+ Graduate courses, privacy is a hot and useful field _x000D_
_x000D_
+ Graduate and undergraduate students _x000D_
_x000D_
+ More efficient differential privacy algorithms would certainly be useful _x000D_
_x000D_
+ Advising and training at a minority serving institution will enable outreach to under represented groups._x000D_
_x000D_
Weaknesses_x000D_
_x000D_
- It is difficult to tie results to specific broader impacts as there is insufficient detail about the type / form of research results that will be obtained._x000D_
_x000D_
Solicitation-specific criteria: CRII specific criteria are not addressed directly._x000D_
_x000D_
Data Management Plan: Adequate._x000D_
_x000D_
Suggestions to PI: There is insufficient detail on the methods of attack for the work.  While we found the proposal interesting there is not enough supporting publications or enough intuition on how the problems will be attacked._x000D_
_x000D_
Justification for Panel Rating:  An interesting high level idea but insufficient prior work on this topic and insufficient details about what type of results will be obtained._x000D_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</si>
  <si>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 complexity to create efficient algorithms which have differential privacy guarantees, especially for linear programming and similar problems._x000D_
_x000D_
Strengths:_x000D_
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try._x000D_
_x000D_
+ The problems being proposed are about right for the timeframe._x000D_
_x000D_
Weaknesses:_x000D_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unacceptable._x000D_
_x000D_
- The PI does not give much detail about the specific problems they intend to study, their ideas on how to approach them, any preliminary work, or why this PI specifically is qualified to work on such problems._x000D_
_x000D_
_x000D_
_x000D_
In the context of the five review elements, please _x000D_
evaluate the strengths and weaknesses of the proposal with respect to broader impacts._x000D_
_x000D_
Strengths:_x000D_
_x000D_
+ Graduate courses, privacy is a hot and useful field_x000D_
_x000D_
+ Graduate and undergraduate students_x000D_
_x000D_
+ More efficient differential privacy algorithms would certainly be useful_x000D_
_x000D_
Please evaluate the strengths and _x000D_
weaknesses of the proposal with respect to any additional solicitation-specific review criteria, if _x000D_
applicable_x000D_
_x000D_
_x000D_
_x000D_
Summary Statement_x000D_
_x000D_
A proposal on an interesting topic with some nice ideas, but the PI does not give much detail about the specific problems they intend to study, their ideas on how to approach them, any preliminary work, or why this PI specifically is qualified to work on such problems._x000D_
_x000D_
_x000D_
</t>
  </si>
  <si>
    <t xml:space="preserve">In the context of the five review elements, please _x000D_
evaluate the strengths and weaknesses of the proposal with respect to intellectual merit._x000D_
_x000D_
This proposal aims to investigate the development of differential private algorithms under the  smoothed analysis model. This model assumes that the input instances are subject to certain random perturbations before the actual computation takes place --- this is reasonable as input instances usually subject to some random uncertainty of low magnitude, for example due to  measurement errors. This project will initiate the research of combining differential privacy and smoothed analysis, and try to design efficient privacy-preserving algorithms with acceptable service quality in a variety of applications._x000D_
_x000D_
The PI identifies four specific research directions:_x000D_
(i) depicting the natural noise of different data under the smoothed analysis model; _x000D_
(ii) utilizing the natural noise to avoid overprotecting query results, which in turn improves service utility; _x000D_
(iii) investigating big high-dimensional data and employing the smoothed analysis model to design computationally efficient algorithms while preserving consumers' privacy; _x000D_
(iv) applying the techniques to integer/linear programming and tensor decomposition, which are two powerful tools to model and solve_x000D_
plenty of problems in real application._x000D_
_x000D_
Both the specific directions identified by the PI and and the high level idea of the research  is very  interesting in principle. However, the PI does not have supporting prior work on this topic and does not provide sufficient details about what type of results (algorithms, theorems) he will aim to obtain. Some supporting prior work and/or  and a concrete plan of attack would make the proposal much more convincing._x000D_
_x000D_
In the context of the five review elements, please _x000D_
evaluate the strengths and weaknesses of the proposal with respect to broader impacts._x000D_
_x000D_
The proposed research will be conducted with both undergraduate and graduate students, which will be exposed to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_x000D_
Please evaluate the strengths and _x000D_
weaknesses of the proposal with respect to any additional solicitation-specific review criteria, if _x000D_
applicable_x000D_
_x000D_
_x000D_
_x000D_
Summary Statement_x000D_
_x000D_
This proposal aims to investigate the development of differential private algorithms under the  smoothed analysis model._x000D_
_x000D_
The proposed direction is very  interesting and timely. However, the PI does not have supporting prior work on this topic and does not provide sufficient details about what type of results (algorithms, theorems) he will aim to obtain._x000D_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</si>
  <si>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addresses interesting problems at the intersection of big data, algorithms and privacy.  The PI has identified three interesting questions that cross theory and practice and has outlined an ambitious research plan to address these issues._x000D_
_x000D_
2. To what extent do the proposed activities suggest and explore creative, original, or potentially transformative concepts?_x000D_
_x000D_
The three main thrusts of the proposal, describing input data noise, avoiding over protection, and designing computationally efficient algorithms under privacy guarantees are interesting and creative.  The second and third one, especially, have the potential to be transformative._x000D_
_x000D_
3. Is the plan for carrying out the proposed activities well-reasoned, well-organized, and based on a sound rationale? Does the plan incorporate a mechanism to assess success?_x000D_
_x000D_
The plan in Section 4 is well reasoned and the PI has established a reasonable plan.  The main issue that I see currently is that no datasets for Part 1 are clearly identified.  Additionally there is not a good explanation of the methods that will be potentially employed for each of the main areas suggested to study.  It would be good to understand the areas or data that would be used as it would help ground the work in the next sections.  the concern is that failure in part 1 will disconnect the work in parts 2 and 3 from real world application._x000D_
_x000D_
4. How well qualified is the individual, team, or institution to conduct the proposed activities?_x000D_
_x000D_
The PI is well qualified and has a track record of high quality publications in the fields for which the proposal is central to.  One concern is a lack of some kind of implementation or code sharing plan to ensure that the results are available to as many people as possible._x000D_
_x000D_
5. Are there adequate resources available to the PI (either at the home institution or through collaborations) to carry out the proposed activities?_x000D_
_x000D_
The PI has requested adequate resources to perform the tasks in the proposal.  The university has access to additional resources necessary to aid success._x000D_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questions in the proposal could have broad and transformative impact across a number of disciplines and real world applications.  Big data and privacy preserving algorithms may have wide application in bio-sciences and recommender systems to name a few areas.  Calling these areas out with particular datasets would strengthen the proposals._x000D_
_x000D_
2. To what extent do the proposed activities suggest and explore creative, original, or potentially transformative concepts?_x000D_
_x000D_
The ideas and research thrusts in the proposal are good and original.  the teaching plan include developing course materials for general use within the confines of the ideas outlined in the proposals -- this would be novel and help bring attention to the areas._x000D_
_x000D_
3. Is the plan for carrying out the proposed activities well-reasoned, well-organized, and based on a sound rationale? Does the plan incorporate a mechanism to assess success?_x000D_
_x000D_
The plan for broader impacts is well defined and has clear metrics for success._x000D_
_x000D_
4. How well qualified is the individual, team, or institution to conduct the proposed activities?_x000D_
_x000D_
In addition to the research the institution serves traditionally undeserved populations which puts the PI and the research program in a particularly strong position to have broad impact in education as well as the research application itself._x000D_
_x000D_
5. Are there adequate resources available to the PI (either at the home institution or through collaborations) to carry out the proposed activities?_x000D_
_x000D_
There are adequate resources available between the proposal and the university to address the broader impacts._x000D_
_x000D_
_x000D_
Please evaluate the strengths and _x000D_
weaknesses of the proposal with respect to any additional solicitation-specific review criteria, if _x000D_
applicable_x000D_
_x000D_
CRII specific issues are not directly addressed._x000D_
_x000D_
Summary Statement_x000D_
_x000D_
An interesting and well structured proposal that identifies good questions at the intersection of big data, privacy preserving analytics, and theoretical computer science / algorithms.  The proposal would be strengthened by calling out specific application areas and datasets but overall the questions are of high quality and well formulated with potential for broad impacts within CS and beyond._x000D_
_x000D_
_x000D_
</t>
  </si>
  <si>
    <t>The operation of emerging large-scale monitoring and control system, such as smart grid, intelligent transportation, and health care system, relies heavily on the growing volume of data continuously provided by and about the users. Usually, the original data contains sensitive information about the participants. How to mine these sensitive big data sets to deliver welfare enhancing goods to our society while avoiding the leakage of participants' privacy is becoming an urgent problem. Differential privacy is a framework for providing a strong privacy guarantee by injecting an appropriate amount of noise into data sets. However, it is reported to provide poor utility or service quality on numerical databases with possible missing values or error items. Besides, computationally efficient privacy-preserving algorithms haven't been proposed for many essential problems, such as linear programming, which is only known to be privately solvable. The PI will investigate the differential privacy under a realistic algorithm analysis and design model, the smoothed analysis model. The main idea of this model is to mimic the real-world instances by considering the natural noise of the input instance. This is reasonable as input instances usually subject to some random uncertainty of low magnitude, due to the measurement or computation imprecision. Smoothed analysis helps us to look deep into the problem and the insight gained from the results could inspire us with new ideas in algorithm design for real applications, which in turn could produce more practical algorithms. This project will initiate the research of combining differential privacy and smoothed analysis, and try to design efficient privacy-preserving algorithms with acceptable service quality in a variety of applications.This project aims at developing more computationally efficient and strong privacy-preserving algorithms or mechanisms by bringing differential privacy closer to reality. The project initiates the study of seamlessly integrating the smoothed analysis and differential privacy. The specific research thrusts include (i) depicting the natural noise of different data under the smoothed analysis model; (ii) utilizing the natural noise to avoid overprotecting query results, which in turn improves service utility; (iii) investigating big high-dimensional data and employing the smoothed analysis model to design computationally efficient algorithms while preserving consumers' privacy; (iv) applying the techniques to integer/linear programming and tensor decomposition, which are two powerful tools to model and solve plenty of problems in real application.The outcomes of this project can provide valuable materials and resources for the private data analysis society. In particular, the methods and ideas developed in this project have broad impacts on designing efficient privacy-preserving algorithms in private data analysis, and can even initiate a brand-new research field of privacy-preserving algorithms design. Besides, the solutions from this project will dramatically improve the usability of pervasive applications that adopt differential privacy as their protection criterion, which will stimulate the wide development and adoption of many other applications. The proposed research is also a starting point in the integration of research and education with the intent of attracting both undergraduate and graduate students to the area of efficient algorithm design and solving privacy issues in our real world. Both undergraduate and graduate students, especially the female and minority students, are encouraged to participate in the project to gain research experiences of algorithm design and privacy issues. Thus, the outcomes of this project can be incorporated into both undergraduate and graduate courses. Furthermore, practical benefits may be utilized by the general public since the practical algorithms are designed for the problems in our daily lives. The PI will host a workshop on the design of practical privacy-preserving mechanisms. The research results and education modules will be published in conferences, journals, and on the Internet.</t>
  </si>
  <si>
    <t>1755481</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</si>
  <si>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</si>
  <si>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</si>
  <si>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</si>
  <si>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</si>
  <si>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</si>
  <si>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1755548</t>
  </si>
  <si>
    <t>Zhou</t>
  </si>
  <si>
    <t xml:space="preserve"> Panel Summary       
 Description: This proposal investigates two research directions in multi-armed bandit (MAB) problems: 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(2) Design efficient algorithms for the Bayesian MAB problems: Prior work have proposed dynamic programming algorithms that take exponential time. This research proposes to design polynomial time algorithms. Further, it proposes _x000D_
deep reinforcement learning algorithms that can do well in practice. _x000D_
_x000D_
_x000D_
Intellectual Merit: _x000D_
Strengths_x000D_
  + The proposal has clear directions (especially the first direction) and is technically well-written. Both directions propose problems that are important and whose solutions will improve state of the art. _x000D_
+ The PI has done good prior research in this area and is capable of making progress to address the problems proposed. _x000D_
+ Multi-arm bandits is a crowded and challenging area and the panel appreciates the research proposed._x000D_
_x000D_
Weaknesses_x000D_
- The proposal can be written better, especially with regard to English. _x000D_
- The technical difficulty of the approaches proposed is not well-fleshed out. _x000D_
- The PI, somewhat surprisingly, does not talk about his recent ICML paper on MAB that looks very related. The concern is if there is  relation to the problems proposed in the first research direction._x000D_
_x000D_
Broader Impact: _x000D_
Strengths_x000D_
  + MAB problems are important with wide applications and any theoretical or practical improvements to existing algorithms will be very useful. _x000D_
 + The educational component is nicely laid out: it includes curriculum development, outreach events to high school students, co-organizing workshops (e.g., mid-west Theory Day) _x000D_
  + Outreach for high school students._x000D_
Weaknesses_x000D_
  - None._x000D_
  _x000D_
_x000D_
Solicitation-specific criteria: _x000D_
The proposal does not explicitly mention how this project will help in future career goals of the PI. _x000D_
_x000D_
Data Management Plan: _x000D_
Adequate._x000D_
_x000D_
Suggestions to PI: _x000D_
Please mention how this project will help in your future goals and career as it is part of the solicitation criteria. It will be  good to improve the writing._x000D_
_x000D_
Justification for Panel Rating:  This proposal addresses multi-arm bandit (MAB) problems, an important class of problems with wide applications. It addresses two research directions which are well-motivated and important. Progress made in addressing these will improve the state of the art in MAB literature. _x000D_
The proposal could have been written better._x000D_
The educational component is good.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</si>
  <si>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goal of this proposal is to provide new data dependent guarantees and algorithms for multi-armed bandit (MAB) problems. The PI identifies two main research directions:_x000D_
_x000D_
(1) Novel data-dependent algorithms that enjoy better sample complexity on easy data. Past research on this topic was focused on  bandit algorithms that exploit quality gaps between arms. This proposal aims to design algorithms that are sensitive to and exploit the variances of the rewards of the respective arms. _x000D_
_x000D_
(2) Learning optimal Bayesian bandit policies from simulation data. Past research was focused on dynamic programming algorithms that take exponential time. This proposal aims design polynomial time algorithms. It also proposes using  deep reinforcement learning to provide more practical algorithms. _x000D_
_x000D_
The proposed work is very interesting and the PI outlines good possible approaches for attacking them. _x000D_
_x000D_
_x000D_
In the context of the five review elements, please _x000D_
evaluate the strengths and weaknesses of the proposal with respect to broader impacts._x000D_
_x000D_
_x000D_
The educational component is nicely laid out: it includes curriculum development, outreach events to high school students, co-organizing workshops (e.g., Mid-West Theory Day)_x000D_
_x000D_
_x000D_
Please evaluate the strengths and _x000D_
weaknesses of the proposal with respect to any additional solicitation-specific review criteria, if _x000D_
applicable_x000D_
_x000D_
_x000D_
_x000D_
Summary Statement_x000D_
_x000D_
_x000D_
This proposal aims to provide new data dependent results for multi-arm bandit problems, an important class of problems with wide range of applications. It is well written and interesting._x000D_
_x000D_
_x000D_
</t>
  </si>
  <si>
    <t xml:space="preserve">In the context of the five review elements, please _x000D_
evaluate the strengths and weaknesses of the proposal with respect to intellectual merit._x000D_
_x000D_
This proposal aims to develop MAB algorithms that are data dependent. It has two direction:_x000D_
1. Variance-sensitive MAB: The PI aims to develop algorithms with good sample complexity when the variances of the arms are small. The sample complexity now depends on the variance of arms. This can potentially allow an algorithm to  perform much better when the data are 'e-asy.'_x000D_
2. Develop polynomial-time approximate algorithms for Bayesian MAB and learn approximate policies from simulation data. The latter will adopt a Q-learning framework to design a practically efficient algorithm. _x000D_
_x000D_
+The two research directions are interesting. _x000D_
+The PI is qualified to carry out this research. (Publications in the area, preliminary results.)_x000D_
- The mid-term proposed research questions for the first direction could be quite technically challenging and the PI didn't provide enough information on how to tackle them. _x000D_
_x000D_
_x000D_
In the context of the five review elements, please _x000D_
evaluate the strengths and weaknesses of the proposal with respect to broader impacts._x000D_
_x000D_
+ Curriculum development, including a course on theoretical tools for optimization. _x000D_
+ Work with a high school student and will do more outreach to high school students.  _x000D_
+ Organize theory day_x000D_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 _x000D_
_x000D_
_x000D_
</t>
  </si>
  <si>
    <t xml:space="preserve">In the context of the five review elements, please _x000D_
evaluate the strengths and weaknesses of the proposal with respect to intellectual merit._x000D_
_x000D_
This proposal investigates two research directions in multi-armed bandit (MAB) problems:_x000D_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_x000D_
(2)  Design efficient algorithms for the Bayesian MAB problems:  Prior work have proposed dynamic programming algorithms that take exponential time. This research proposes to design polynomial time algorithms. Further, it proposes_x000D_
deep reinforcement learning algorithms that can do well in practice._x000D_
_x000D_
Strengths:_x000D_
_x000D_
1.	The proposal has clear directions and technically well-written. Especially, the first research direction of finding variance-sensitive algorithms is well-explained with short-term and mid-term goals, each with concrete open problems and possible approaches to tackle them. They look credible and reasonable. Both directions propose problems that are important  and whose solutions will improve state of the art._x000D_
In particular, having algorithms that are variance sensitive can improve over prior MAB algorithms that only look at quality gaps (when the variances are small)._x000D_
_x000D_
2.	The PI has done prior research in this area and is capable of making good progress to address the problems proposed._x000D_
_x000D_
Weaknesses:_x000D_
1.  The technical difficulty of the approaches proposed is not clear, or at least not well-fleshed out.      For example, Section 2.1 describes a fairly-straightforward variance-sensitive algorithm for solving the 2-arm case. Proving this is stated as conjecture. What is the difficulty in this? What is the difficulty in extending this to the multi-arm case? What are the difficulties in proving lower bounds? Lower bounds proposed look essentially tight and seem hard to show. It might be good to elaborate a bit more on this. Also the novelty of turning a DP algorithm into a PTAS is not clear. Why is this difficult?_x000D_
_x000D_
2.	The PI, somewhat surprisingly, does not talk about his recent ICML paper on MAB that looks very related. _x000D_
_x000D_
3.	The proposal at some places is slightly hard to read, can do better with English grammar._x000D_
_x000D_
_x000D_
_x000D_
In the context of the five review elements, please _x000D_
evaluate the strengths and weaknesses of the proposal with respect to broader impacts._x000D_
_x000D_
Strengths:_x000D_
_x000D_
1.	MAB problems are important with wide applications and any theoretical or practical improvements to existing algorithms will be very useful._x000D_
2.	The educational plan is good._x000D_
_x000D_
Weaknesses: _x000D_
_x000D_
None._x000D_
_x000D_
_x000D_
Please evaluate the strengths and _x000D_
weaknesses of the proposal with respect to any additional solicitation-specific review criteria, if _x000D_
applicable_x000D_
_x000D_
The proposal does not mention how this project will help in future career goals of the PI._x000D_
_x000D_
Summary Statement_x000D_
_x000D_
This proposal addresses multi-arm bandit (MAB) problems, an important class of problems with wide applications. In particular, it addresses two research directions which are well-motivated and important. Progress made in addressing these will improve the state of the art in MAB literature._x000D_
_x000D_
</t>
  </si>
  <si>
    <t xml:space="preserve">In the context of the five review elements, please _x000D_
evaluate the strengths and weaknesses of the proposal with respect to intellectual merit._x000D_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has adequate broad impact._x000D_
_x000D_
Please evaluate the strengths and _x000D_
weaknesses of the proposal with respect to any additional solicitation-specific review criteria, if _x000D_
applicable_x000D_
_x000D_
_x000D_
_x000D_
Summary Statement_x000D_
_x000D_
I will wait to see other reviews before I make up my mind about this proposal._x000D_
_x000D_
</t>
  </si>
  <si>
    <t>Multi-armed bandit (MAB) problems are most basic instances of decision making with limited information and address the fundamental trade-off between exploration and exploitation in sequential experiments which abstracts many practical settings. Bandit problems find wide applications in clinical trials, online advertisement, recommendation systems, routing, optimization, reinforcement learning, and many more._x000D_
_x000D_
The goal of this proposed research is to initiate a principled study of data oriented multi-arm bandit algorithms to advance both bandit theory and practice. To this end, in the proposal we outline two novel directions with concrete research questions for the first two years supported by this grant._x000D_
_x000D_
1.Novel data-dependent algorithms. The paradigm of data-dependent algorithms for MAB originates from the idea ``to learn faster from easy data''. While the overwhelming majority of past research studied bandit algorithms those are dependent on quality gaps, we propose to design novel MAB algorithms to explore more characteristics of data and improve sample complexity using this information. More concretely, we propose the notion of variance-sensitive bandit algorithms, and to develop such algorithms those are practically efficient with theoretical guarantee._x000D_
_x000D_
2. Learning optimal Bayesian bandit policies from simulation data._x000D_
While only exponential-time dynamic programming algorithms are known for the optimal Bayesian bandit policies, we propose to design algorithms to arbitrarily well approximate the optimal policy in polynomial time. To make our theoretical algorithm practically effective, we also propose to leverage the recent advances in deep reinforcement learning and design a neural network-based algorithm to learn the almost optimal policy from simulation data.Our proposal to study variance-sensitive bandit algorithms will not only enrich the popular concept of data-dependent algorithms, but also develop technical tools to address new exploration versus exploitation challenges, extend the bandit theory, and benefit the practice of related fields such as simulation optimization._x000D_
_x000D_
Our proposed method for the Bayesian bandit problems will be the first in literature that leads to polynomial-time algorithms with arbitrarily good approximation guarantee. Our proposed learning-from-simulation-data algorithm will also novelly bridge theoretical algorithms and empirically powerful deep reinforcement learning techniques.The proposed research directions address the MAB problems with a wide range of objectives. Any improvement we would make towards these directions could have immediate impacts in application areas where bandit algorithms are already in use (e.g. clinical trials, simulation optimization, and many more mentioned at the very beginning of this proposal)._x000D_
_x000D_
Our planned research lies at the intersection of theoretical computer science, machine learning, and operations research.  This proposal includes a plan on disseminating our research results to the broader community, as well as promoting education and outreach activities on computational theory, stochastic optimization and decision science.</t>
  </si>
  <si>
    <t>1755619</t>
  </si>
  <si>
    <t xml:space="preserve"> Panel Summary       
 Description: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 In particular, the PI wants to develop strongly polynomial algorithms for linear exchange markets, and for Fisher markets with utility and earning caps._x000D_
_x000D_
_x000D_
Intellectual Merit:_x000D_
_x000D_
Strengths_x000D_
+ Forming strongly-polynomial time algorithms for market equilibrium computation is a worthwhile goal, and in fact is a long-standing open question. Such efficient algorithms would be useful in many settings. While the questions themselves are not extremely novel, the approaches proposed for solving them are novel._x000D_
_x000D_
+ The PI is very well-qualified. For example, the PI was one of the people who formed the currently most efficient algorithm for computing market equilibrium for Linear Exchange Markets. The PI has a large amount of preliminary work in the area, published in top venues. Moreover, the PI is collaborating with other experts in the area._x000D_
_x000D_
+ The PI proposes detailed and well-considered plans for how to tackle these important problems; it is likely that even if these plans do not work out, some very nice insights would be obtained. This also makes it likely that many of these questions will be resolved by the PI in a relatively short time-frame, as is appropriate for this type of proposal._x000D_
_x000D_
+ If the PI is able to form strongly-polynomial algorithms for computing market equilibrium, this could be potentially transformative for market equilibrium research, as it would solve a long-standing open problem._x000D_
_x000D_
_x000D_
Weaknesses_x000D_
-	none  _x000D_
_x000D_
Broader Impact:_x000D_
_x000D_
Strengths_x000D_
+ The problems studied have broad impact in multiple areas including economics, networking, algorithms etc. _x000D_
_x000D_
+ Several PhD students (one female) and undergrads will contribute to this project. The PI has a long record of mentoring undergrads. _x000D_
_x000D_
+ The PI has won awards for teaching, and will design courses related to this project. The support will positively influence development of curriculum at UIUC._x000D_
_x000D_
+ The PI plans to organize tutorials for a more general theory audience._x000D_
  _x000D_
Weaknesses_x000D_
- The educational and outreach plan is relatively standard._x000D_
_x000D_
Solicitation-specific criteria: The PI has already done some amazing work in market equilibrium computation. If the PI is able to obtain new results on efficient algorithms for general market equilibrium problems, this will form a great foundation for their future research career, and would make them extremely competitive in their field. Obtaining such results due to this proposal being funded would mark the PI as one of the absolute top in their subfield._x000D_
_x000D_
Data Management Plan: adequate_x000D_
_x000D_
What is bold, exciting, high risk/reward, or potentially transformative? Forming strongly poly-time algorithms for exchange markets is exciting and high-risk high-reward, as this is a long-standing open question and would yield great insights into market equilibrium. That said, the PI is definitely the correct person to tackle this question._x000D_
_x000D_
Suggestions to PI: Perhaps talk more about the potential impact this work would have on other areas of research._x000D_
_x000D_
Justification for Panel Rating:  The panel was positive and enthusiastic about this proposal. The PI is proposing to work on important and useful open problems. The PI is very qualified, and has a nice plan on how to approach these problems. This work is likely to lead to a nice research program, and the PI is working with a female graduate student who will be supported by this award._x000D_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</si>
  <si>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question._x000D_
_x000D_
Strengths:_x000D_
_x000D_
+ Forming strongly-polynomial time algorithms for market equilibrium computation is a worthwhile goal, and in fact is a long-standing open question. Such efficient algorithms would be useful in many settings._x000D_
_x000D_
+ Forming such an efficient algorithm for linear-exchange markets would be impressive. The PI is well-qualified (they formed the currently best algorithm for this problem). The PI proposes a relatively concrete plan for how to tackle this important problem; it is likely that even if this plan does not work out, some very nice insights would be obtained._x000D_
_x000D_
+ Strongly poly-time algorithms are already known for Fisher markets, but the PI will consider important generalizations._x000D_
_x000D_
+ The PI has extremely detailed and well-considered plans on how to tackle each research direction. This makes it possible (although certainly not guaranteed) that many of these questions will be solved in a relatively short time-frame._x000D_
_x000D_
In the context of the five review elements, please _x000D_
evaluate the strengths and weaknesses of the proposal with respect to broader impacts._x000D_
_x000D_
Strengths:_x000D_
_x000D_
+ This work may have impact in more general Optimization and Economics._x000D_
_x000D_
+ PhD students (female) and undergrads will contribute to this project. The PI has a long record of mentoring undergrads._x000D_
_x000D_
+ The PI has won awards for teaching, and will design courses related to this project_x000D_
_x000D_
Please evaluate the strengths and _x000D_
weaknesses of the proposal with respect to any additional solicitation-specific review criteria, if _x000D_
applicable_x000D_
_x000D_
_x000D_
_x000D_
Summary Statement_x000D_
_x000D_
A qualified PI, working on important and useful open problems, with concrete plans for how to tackle them, and likely to lead to a nice research program._x000D_
_x000D_
_x000D_
</t>
  </si>
  <si>
    <t xml:space="preserve">In the context of the five review elements, please _x000D_
evaluate the strengths and weaknesses of the proposal with respect to intellectual merit._x000D_
_x000D_
This proposal aims to investigate the possibility of designing strongly polynomial time algorithms for several market equilibrium problems. This is an important topic in algorithmic game theory.   Market equilibrium is known to be poly-time computable for many important settings (via convex programming). The main goal of this proposal is to provide strongly poly-time algorithms for market settings which would only depend on the number of participants and the number of goods. Strongly poly-time algorithms are already known for certain types of markets (Fisher markets), but the PI will consider important generalizations of these markets as well as other types of markets, e.g., linear exchange markets. The PI provides a reasonably detailed plan to attack these specific questions. _x000D_
_x000D_
_x000D_
Pros_x000D_
The proposed research is interesting. _x000D_
The PI is highly qualified to perform the proposed research._x000D_
_x000D_
Cons_x000D_
The PI does say that this work will likely develop new algorithmic techniques to break the barrier of obtaining strongly polynomial algorithms for a number of classical network flow problems and that it will have significant positive impact on the applications of both markets and network flows such as scheduling, auctions, mechanism design, cloud computing, transportation, etc. It would have been good to see more details in these directions._x000D_
_x000D_
In the context of the five review elements, please _x000D_
evaluate the strengths and weaknesses of the proposal with respect to broader impacts._x000D_
_x000D_
The broader impact component is short and contains standard parts: (1) potential impact in multiple areas including economics, networking, algorithms etc; (2) PI has mentored students and has been teaching courses in algorithmic game theory_x000D_
_x000D_
Please evaluate the strengths and _x000D_
weaknesses of the proposal with respect to any additional solicitation-specific review criteria, if _x000D_
applicable_x000D_
_x000D_
_x000D_
_x000D_
Summary Statement_x000D_
_x000D_
This proposal aims to investigate the possibility of designing strongly polynomial time algorithms for several market equilibrium problems. _x000D_
A good proposal on an interesting topic._x000D_
_x000D_
</t>
  </si>
  <si>
    <t xml:space="preserve">In the context of the five review elements, please _x000D_
evaluate the strengths and weaknesses of the proposal with respect to intellectual merit._x000D_
_x000D_
The PI has identified important open problems in the area. These problems are fundamental for various resource allocation problems._x000D_
Specifically, PI wants to develop strongly polynomial algorithm for linear exchange markets. He also considers generalization of these markets when there are utility caps._x000D_
He has also identified various approaches based on network-flows that may solve these problems._x000D_
_x000D_
THe PI has made many important contributions to the_x000D_
area and is uniquely qualified to work on these important problems._x000D_
He is collaborating with other experts in the area (such as Laszlo Vegh) increasing the chances of success._x000D_
_x000D_
The proposal is very thorough and is very well-written._x000D_
_x000D_
_x000D_
_x000D_
In the context of the five review elements, please _x000D_
evaluate the strengths and weaknesses of the proposal with respect to broader impacts._x000D_
_x000D_
The problems have broad impact in multiple areas including economics, networking, algorithms etc._x000D_
_x000D_
The PI teaches courses in algorithmic game theory and the support will positively influence development of curriculum at UIUC._x000D_
_x000D_
The PI has identified a female Ph.D. student to work on this topic._x000D_
_x000D_
_x000D_
Please evaluate the strengths and _x000D_
weaknesses of the proposal with respect to any additional solicitation-specific review criteria, if _x000D_
applicable_x000D_
_x000D_
_x000D_
_x000D_
Summary Statement_x000D_
_x000D_
The proposal is outstanding with broad impact to the community of algorithms, economics and game theory._x000D_
_x000D_
</t>
  </si>
  <si>
    <t>Market equilibrium is a central solution concept in economics with applications in a variety of domains. Exchange and Fisher are the two most fundamental and extensively studied market models, for which many novel algorithmic techniques have been developed. Due to their connections with network flows, some of these algorithms also led to breakthrough results on the flow problems. Recent work on fair division of scarce resources crucially uses various extensions of the Fisher model for which connections with flow problems have been obtained. We propose to study these markets and the corresponding network flow problems for which designing strongly polynomial algorithms remain important open questions. In particular, the main thrusts of the proposed work are:_x000D_
_x000D_
- Obtain a strongly polynomial algorithm for the linear exchange markets which reduce to a class of convex non-separable minimum cost flow problems. This is a long-standing open question in equilibrium computation._x000D_
- Models relevant for recent applications are the linear Fisher markets with utility and/or earning caps. For these, equilibrium computation reduces to either concave generalized flow or convex separable minimum cost flow problems. The objective is to obtain strongly polynomial algorithms for these._x000D_
- Obtain a constant-factor approximation algorithm for allocating indivisible items to agents that maximize the Nash social welfare when agents are asymmetric and have additive valuations. A relaxation of this problem is closely related to linear Fisher markets.The proposed problems are of fundamental importance in algorithmic game theory, network flows, and fair division. The first objective, in fact, aims to settle a long-standing open problem. New algorithmic techniques/tools and structural insights need to be developed to solve them, which could further lead to significant insights into designing strongly polynomial time algorithms for concave generalized flows, minimum cost generalized flows, and certain special cases of linear programming, all of which have defied efforts for many decades.The impact of the proposed work is two fold: firstly it will give provably fast algorithms for important market models with applications to fair division, and secondly, it will develop new algorithmic techniques to break the barrier of obtaining strongly polynomial algorithms for a number of classical network flow problems. Additionally, it will have significant positive impact on the applications of both markets and network flows such as scheduling, auctions, mechanism design, cloud computing, transportation, etc._x000D_
_x000D_
The PI and co-authors plan to disseminate the results through conferences, workshops, and tutorials. The PI plans to engage two PhD students, one full-time and one half-time, and also an undergraduate student on this project to get the designed algorithms implemented and tested for their practical efficiency. The new algorithmic techniques developed in this project will be incorporated into a graduate course on Games and Markets that the PI teaches. All the educational and implementation material will be made freely available online.</t>
  </si>
  <si>
    <t>1755679</t>
  </si>
  <si>
    <t>FANG</t>
  </si>
  <si>
    <t xml:space="preserve"> Panel Summary       
 Description: The proposal focuses on extending the existing framework of Stackelberg security games to include the prospect of the leader being able to define the game itself by establishing the framework for the later moves. This is an interesting extension existing framework on Stackelberg games and has the potential to have broad impact outside computer science in a number of practical applications.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 _x000D_
_x000D_
However, the panel was concerned that the main product of this proposal is not theorems and proofs but rather optimization techniques that are not core to AF and hence this proposal is not appropriate for funding from AF._x000D_
_x000D_
Intellectual Merit:_x000D_
_x000D_
Strengths_x000D_
+ Stackelberg games have received a lot of attention in the past decade, and are one of the most successfully applied games in the field of algorithmic game theory. Looking at two-stage games of this type is a natural next step. _x000D_
+ The PI is very qualified since she has worked a lot on standard Stackelberg games; looking at two-stage games is also a natural step for the PI. _x000D_
+ The questions proposed are reasonable for the length of time given. _x000D_
+ It is likely that this project will at least result in some efficient algorithms for specific applications of two-stage games. _x000D_
+ The specific research directions are relatively concrete. _x000D_
+ Quantifying how the game structure affects the quality of equilibrium solutions is a deep and important question, even for relatively simple games._x000D_
+ The relation to prior work should be framed as a strength as this is an extension of the PIs prior work in the area. The PI does a good job of showing how the proposal goes beyond these works. _x000D_
+ The plan is very well formalized and the research streams are related but not in a way that would prevent failure in one of them from bringing down all the others. There is a clear and well designed set of measures to evaluate the research motivated by real world applications. _x000D_
_x000D_
Weaknesses_x000D_
- For other types of games, questions like "design a game structure so that the price of anarchy is small" are known to be intractable. That said, the PI plans to look at specific types of simpler games, so these questions may be tractable for such instances. _x000D_
_x000D_
- It would be nice to see more details on how the PI plans to develop algorithms for optimizing the follower's payoff function. _x000D_
_x000D_
- Most of the proposed work is in optimization and heuristics. For a proposal in CCF, one would expect to see the main products of the research being theorems and proofs, as well as theoretical insights, but these do not seem to be the main emphasis. _x000D_
_x000D_
Broader Impact:_x000D_
_x000D_
Strengths_x000D_
+ Stackelberg games have been applied many times in the real-world. The PI plans to deploy their results and algorithms in real applications, and has collaboration letters. _x000D_
_x000D_
+ There are sufficient resources to execute the proposal. The PI has also established impressive relations with a number of outside parties that will help ensure the success of the research plan. _x000D_
 _x000D_
+ The broader impacts are indeed potentially transformative as they will enable the modeling and solving of a larger class of games that more closely follow the instances that are observed in the real world. _x000D_
_x000D_
+ The PI is involved in mentoring female students, and is involved in mentoring K-12 students. _x000D_
_x000D_
Weaknesses_x000D_
- _x000D_
_x000D_
Solicitation-specific criteria:_x000D_
_x000D_
- Unfortunately, the proposal does not explicitly show how this proposal will help to generate the ideas to propel her career forward, and explain the larger picture (within her research) that it is leading to. It is not hard to guess an outline of what this might be, but details would be very helpful. _x000D_
_x000D_
Data Management Plan:  The data management plan is adequate and the PI has experience deploying software in the real world._x000D_
_x000D_
Collaboration Plan: The PI has done an outstanding job of securing commitments to cooperate from all the stakeholders necessary to carry out the broader impacts proposed in the research plan. _x000D_
_x000D_
What is bold, exciting, high risk/reward, or potentially transformative? This proposal extends the work of the PI in an important direction.  The extension of Stackleberg games to include 2-stage games will increase the scope and applicability of the techniques.  The PI has an excellent track record of broader impacts and working with outside parties._x000D_
_x000D_
Suggestions to PI: There are suggestions above which include fleshing out the specifics of why this fits into a CRII a bit more formally._x000D_
_x000D_
Justification for Panel Rating:  The panel was concerned that the main product of this proposal is not theorems and proofs but rather optimization techniques that are not core to AF.  This proposal mixes in a little bit of theory but the main thrust of the proposal is applications and application specific solutions. Therefore the AF panel did not think that this was appropriate for funding from the program in Algorithmic Foundations. _x000D_
_x000D_
_x000D_
Panel Rating:_x000D_
_ Highly Competitive_x000D_
_ Competitive_x000D_
_ Low Competitive_x000D_
X Not Competitive_x000D_
_x000D_
The summary was read by/to the panel and the panel concurred that the summary accurately reflects the panel discussion._x000D_
</t>
  </si>
  <si>
    <t>JDONLON</t>
  </si>
  <si>
    <t>P180334</t>
  </si>
  <si>
    <t xml:space="preserve"> CRII HLT and AI</t>
  </si>
  <si>
    <t xml:space="preserve"> Panel Summary       
  The proposal outlines strategy design in a novel two-layered Stackleberg game. The proposed game extends two-layer games and Stackleberg games (leader-follower games). The goal is to design theory for optimizing the leader?s action space, the follower?s payoff function, and combining them. Moreover, the PI plans to deploy the theory in real world applications. _x000D_
_x000D_
_x000D_
INTELLECTUAL MERIT_x000D_
_x000D_
--Strengths_x000D_
- The proposed extension to the game theory for Stackelberg games is interesting and novel and appears to have relevance to security applications._x000D_
- The PI is very well qualified for this task._x000D_
_x000D_
_x000D_
--Weaknesses_x000D_
- The proposal mainly addresses designing theoretical foundations for the proposed game, but there is no detailed outline of the theoretical theorems or a clear path of how those will be achieved. _x000D_
- The proposal does not specify how the proposed theory will be deployed in real world applications, and how those will be evaluated. _x000D_
- One question that remains unclear is why one should use the two-layer Stackleberg games the proposed decision making applications? What is the benefit of using game theory in comparison with other ways to optimize the decision making process (e.g., Markov Decision Processes or Reinforcement Learning)? _x000D_
_x000D_
BROADER IMPACTS, INCLUDING ENHANCING DIVERSITY_x000D_
--Strengths_x000D_
- The PI has a good track record of deploying theoretical foundations to real world applications._x000D_
- The PI actively interacts with K-12 students. _x000D_
_x000D_
--Weaknesses_x000D_
- There is no clear plan how these games will be deployed in real world applications.  _x000D_
_x000D_
_x000D_
ADDITIONAL REVIEW CRITERIA:_x000D_
_x000D_
-- Is the research appropriate for the proposed duration?_x000D_
It appears overly-ambitious for a two-year project to both develop novel theory for two-layer Stackelberg games and demonstrate applicability to real-world problems._x000D_
_x000D_
-- Does the project have potential to produce sufficient preliminary results to serve as the basis for future competitive research proposals?_x000D_
Yes._x000D_
_x000D_
-- Are the activities necessary and critical steps for the PI to achieve research independence?_x000D_
Yes._x000D_
_x000D_
DEPARTMENT SUPPORT LETTER: _x000D_
Strong_x000D_
_x000D_
_x000D_
DATA MANAGEMENT PLAN: _x000D_
The panel expected to see specific procedures for data release that maximize value to the community. _x000D_
_x000D_
POST-DOCTORAL MENTORING PLAN (if applicable): _x000D_
N/A_x000D_
_x000D_
_x000D_
COLLABORATIONS (if applicable): _x000D_
Multiple collaboration letters, but the proposal did not outline the details of the collaboration plan with the respective organizations e.g., WWF. _x000D_
_x000D_
PANEL RECOMMENDATION AND JUSTIFICATION, INCLUDING BRIEF STATEMENT OF KEY STRENGTHS AND/OR CRITICAL WEAKNESSES	_x000D_
_x000D_
The proposal outlines a novel game design, called two-layer Stackleberg games. It introduces the theory and proposes to deploy in real world applications. The proposal does not outline the detailed plan on how to apply these games in real world applications, and the deployment seems overly ambitious for the purpose of this project. Moreover, the proposal does not convince the reviewers why using the proposed game theory would achieve better results compared to other decision making models such as MDPs or Reinforcement learning. _x000D_
_x000D_
_x000D_
Ranking (check one)_x000D_
__ Highly Competitive_x000D_
__ Competitive_x000D_
_x_ Low Competitive_x000D_
__ Not Competitive_x000D_
_x000D_
The summary was read by the panel, and the panel concurred that the summary accurately reflects the panel discussion._x000D_
</t>
  </si>
  <si>
    <t>NATIONAL SCIENCE FOUNDATION _x000D_
Directorate for Computer and Information Science and Engineering (CISE) _x000D_
Division of Information and Intelligent Systems (IIS) _x000D_
_x000D_
Review Analysis Recommendation: DECLINE_x000D_
_x000D_
PROPOSAL: _x000D_
CRII: RI: Strategy Design in Two-Layered Stackelberg Games _x000D_
1755679 FANG, FEI: Carnegie Mellon University_x000D_
_x000D_
Submitted to NSF 17-552: 08/09/17_x000D_
Requested support: $175,000 / 24 mo / Start: 01/01/2018_x000D_
_x000D_
PANELS (2): _x000D_
_x000D_
P180334 CRII HLT and AI: _x000D_
Panel Recc: Low Competitive (14 proj: 3 HC, 1 C, 9 LC, 1 NC)_x000D_
P180209 AF CAREER/CRII Panel B_x000D_
Panel Recc: Not Competitive (rk 9 of 29 proj: 5 HC, 9 C, 11 LC, 4 NC)_x000D_
_x000D_
Reviews: E,V/G,G,G,F_x000D_
_x000D_
_x000D_
PROJECT SUMMARY: _x000D_
This project focuses on a particular class of computational game theory called Stackelberg games, which encode a kind of leader-follower paradigm wherein the terms of the game are pre-established and the game theory is primarily concerned with anticipating the move (e.g., bid, quantity) that will be made by the leader and the reaction move of the follower. This project proposes theory and application related to new extension to this class of games, to allow for scenarios in which the leader defines the terms of the game itself by establishing the framework for the later moves. This is referred to in the proposal as two-layer Stackelberg games._x000D_
_x000D_
ANALYSIS_x000D_
The project was originally submitted to CCF Algorithmic Foundations (AF), but appearing to name RI in the title of the proposal.  CCF confirmed with the PI that it had been misdirected and transferred it to RI for review (correspondence uploaded as a diary note).  However, the AF program agreed that the proposal contains potentially relevant claims in the theoretical computer science elements of algorithmic game theory and agreed to co-review the proposal.  Two panels (AF and RI) considered the reviews of five experts.  The AF panel found the proposal to be "Not Competitive" due to a lack sufficient depth and plans for the theoretical claims.  The RI panel found the proposal to be "Low Competitive" due mainly to a lack of specificity about how this game-theoretic approach would apply to the proposed problems, and a lack of consideration of better-established decision making models that have traditionally been applied to the identified domains, including reinforcement learning (RL) and Markov decision processes (MDP)._x000D_
_x000D_
OUTLYING REVIEW(S)_x000D_
_x000D_
One of the reviewers, Mattei, rated the proposal E, primarily based on his interest in the potential new theoretical direction. The reviewer also praised the proposal's presentation style and expressed confidence in the PI's abilities to perform the research.  However, the overall judgement of both the AF and the RI panels was that the proposal lacked sufficient detail about the needed theoretical work.  Despite this outlying reviewer's interest in the potential application of two-layered Stackelberg games to security, the panels were not satisfied with the proposal's consideration of existing alternative approaches in those domains.  In spite of this reviewer's interest in the new directions, it was clear to each panel that the PI will need to more fully develop the ideas in one or both of the areas of theory and application.  _x000D_
_x000D_
RECOMMENDATION: _x000D_
_x000D_
As Program Director, I evaluated this proposal for funding in light of its intellectual merit and broader impacts relative to the goals of the program, taking into account the reviews and ratings, and the panel discussions/summaries from both panels. This proposal was short on both theoretical claims and on a details providing a convincing plan for application demonstrating RI relevance.  The proposed extension to this area of game theory does potentially apply to security scenarios.  However, the proposal's technical plans failed to convince reviewers of either its applied or theoretical merits.  I recommend that this project be DECLINED. _x000D_
_x000D_
_x000D_
James Donlon, Program Director _x000D_
Robust Intelligence</t>
  </si>
  <si>
    <t>KMINOR</t>
  </si>
  <si>
    <t xml:space="preserve">In the context of the five review elements, please _x000D_
evaluate the strengths and weaknesses of the proposal with respect to intellectual merit._x000D_
_x000D_
The PI intends to study Two-Layered Stackelberg Games. These are games in which the first player (the leader) can choose both the structure of the game (within some limitations) as well as their own strategy, while the second player (the follower) is only able to choose their strategy after the leader does. One can in general reduce these to standard Stackelberg games; the PI is mostly intending to study specific important versions of such games, analyze how changing the game structure changes the outcomes, and develop efficient algorithms for specific applications, as the PI has done in the past for one-stage Stackelberg games._x000D_
_x000D_
Strengths:_x000D_
_x000D_
+ Stackelberg games have received a lot of attention in the past decade, and are one of the most successfully applied games in the field of algorithmic game theory. Looking at two-stage games of this type is a natural next step._x000D_
_x000D_
+ The PI is very qualified since she has worked a lot on standard Stackelberg games; looking at two-stage games is also a natural step for the PI. The questions proposed are reasonable for the length of time given; they may lead to a great research direction, or just end up with some nice papers. It is likely that this project will at least result in some efficient algorithms for specific applications of two-stage games. The specific research directions are relatively concrete._x000D_
_x000D_
+ Quantifying how the game structure affects the quality of equilibrium solutions is a deep and important question, even for relatively simple games._x000D_
_x000D_
Weaknesses:_x000D_
_x000D_
- For other types of games, questions like "design a game structure so that the price of anarchy is small" are known to be intractable. That said, the PI plans to look at specific types of simpler games, so these questions may be tractable for such instances._x000D_
_x000D_
- Although the PI mentions mechanism design, she does not mention the work on bundling and pricing, where the leader (seller) decides which goods to bring to the market, how to bundle them, and how to price them, with the followers (buyers) deciding which goods to buy. This is often done with full knowledge of the buyer information. This is quite similar to the type of questions the PI is asking, although the type of "operational" strategies that a leader has in such a game is quite different from the ones the PI is intending to study._x000D_
_x000D_
- It would be nice to see more details on how the PI plans to develop algorithms for optimizing the follower's payoff function._x000D_
_x000D_
- Most of the proposed work is in optimization and heuristics. For a proposal in CCF, one would expect to see the main products of the research being theorems and proofs, as well as theoretical insights, but these do not seem to be the main emphasis._x000D_
_x000D_
In the context of the five review elements, please _x000D_
evaluate the strengths and weaknesses of the proposal with respect to broader impacts._x000D_
_x000D_
Strengths:_x000D_
_x000D_
+ Stackelberg games have been applied many times in the real-world. The PI plans to deploy their results and algorithms in real applications, and has collaboration letters._x000D_
_x000D_
+ The PI is involved in mentoring female students, and is involved in mentoring K-12 students._x000D_
_x000D_
Please evaluate the strengths and _x000D_
weaknesses of the proposal with respect to any additional solicitation-specific review criteria, if _x000D_
applicable_x000D_
_x000D_
_x000D_
_x000D_
Summary Statement_x000D_
_x000D_
A qualified PI working on an important topic. It would be good to see more details about the possible approaches._x000D_
_x000D_
_x000D_
</t>
  </si>
  <si>
    <t>UB0978446</t>
  </si>
  <si>
    <t>Finlayson</t>
  </si>
  <si>
    <t>markaf@fiu.edu</t>
  </si>
  <si>
    <t xml:space="preserve">In the context of the five review elements, please _x000D_
evaluate the strengths and weaknesses of the proposal with respect to intellectual merit._x000D_
_x000D_
--A brief statement of what the proposal is about:_x000D_
The proposal proposes to study design of two-layered Stackelberg games (2LSGs), namely, a game where one player (the leader) first designs the game and commits to a strategy, followed by the second player(the follower) deciding on a strategy, resulting in a certain payoff. In particular, the work proposed focuses on the game design stage and integrating this into the significant work on the strategy optimization aspects._x000D_
_x000D_
--Strengths:_x000D_
In general the motivation of the work is quite strong. There are clear missing pieces in the study of 2LSGs, and this research proposes to address them. The general approach of splitting the work into three tasks is good._x000D_
_x000D_
--Weaknesses:_x000D_
My main complaint about the proposal is it does not go into any detail about the specific results, in terms of theorems, generalization frameworks, and results, that are expected. This leaves me with only a very abstract idea of what will happen during the project. It is unclear where the focus will be: will the project focus on two-layer SSEs (2LSSEs) only? Or both 2LSSEs specifically and 2LSGs more generally? Relatedly, the proposal says that tools will be built and the results evaluated in applications, but the detailed form of these tools, applications, and evaluations was not specified in any detail._x000D_
_x000D_
Another concern is whether the proposed scope is appropriate for the budget and timeline. The proposal describes support for only part of a single graduate student, and yet there are three overlapping tasks, with multiple subtasks each. The proposal indicates undergraduates will be engaged, but there doesn't seem to be any money to support this. The budget justification is no help in understanding this. How much does a graduate student cost at CMU? What's the tuition? Where will the remainder of the support come from? The budget justification does not provide the expected level of detail for these questions. The budget includes unexplained items, such as $11k for "other direct costs"._x000D_
_x000D_
Finally, there are brief mentions of collaborations with external entities, but the nature and form of these collaboration is not described at all. How will these collaborators be engaged? What are they bringing to the table?_x000D_
_x000D_
In the context of the five review elements, please _x000D_
evaluate the strengths and weaknesses of the proposal with respect to broader impacts._x000D_
_x000D_
--Strengths:_x000D_
The potential applications of 2LSSEs is a strong point for the broader impacts. There are applications in many areas of critical interest, especially conservation and anti-poaching._x000D_
_x000D_
--Weaknesses:_x000D_
Unfortunately, the impressive potential of these applications is undercut by the lack of detail. What will the tools like that the project will create? How will the researcher collaborate with the external partners? While I know who the WWF is, and can infer who WCS is, I don't know who Rimba is, and the collaboration letter from Sunway is unexplained. How will these results be evaluated, specifically? _x000D_
_x000D_
Further, the proposal discusses broadening participation as a potential broader impact, but again does not give any detail or concrete plans, leaving me unconvinced that this will actually happen. The PI claims a history of "many activities" supporting diversity, but this involves mentoring only a single undergraduate female student, and a single lecture at the WECode conference, plus unspecified numerous informal interactions encouraging women to go into CS. I wonder whether it is justified calling such a limited set "many activities."_x000D_
_x000D_
--Adequacy of Data Management Plan_x000D_
The DMP is inadequate. The data and code will be stored on private servers, and public results only on transient laboratory and departmental website, and retention is promised only for 7 years. This is not enough time. Public software repositiores are mentioned, but no specific ones: I assume something like Github? If so, this is also inadquate. Who knows how long they wil be around. Further, the PI proposes to hold the data under lock and key because of its sensitivity, and release it to those who request it, but only if the data does not contain "sensitive informaiton" and only if the requests "do not lead to security concerns". This is vague and unclear. I would have liked to see specific procedures for data release that maximize value to the community. If the data is sensitive, why can't it be deidentified for release? The DMP makes no mention of the tools.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Perhaps Not. Only part of a graduate student is proposed, and yet there is a lot of work to do._x000D_
_x000D_
--Does the project have potential to produce sufficient preliminary results to serve as the basis for future competitive research proposals?_x000D_
Yes. The project clearly proposes to make an important forward step that will generate a lot of preliminary results on which the PI can build in the future._x000D_
_x000D_
--Are the activities necessary and critical steps for the PI to achieve research independence?_x000D_
Yes. This work is the next logical step to the work done by the PI before._x000D_
_x000D_
--Strength of Department Letter_x000D_
The letter is quite strong, and covers the points of eligibility clearly and in detail._x000D_
_x000D_
Summary Statement_x000D_
_x000D_
--Justification of your rating, including a brief statement of the proposal's key strengths and/or critical weaknesses_x000D_
_x000D_
While the broad motivation and potential impact of the proposal are strong (for both intellectual merit and broader impacts), it lacks enough detail to be convincing. This is so at every step of the proposal: the expected form of intermediate and final results, specific steps that will be taken, what the tools will look like, how the evaluations will be performed, and how the applications will be effected, and how diversity will be encouraged. The collaborations, budget, and match of resources to the scope of work are especially vague._x000D_
_x000D_
</t>
  </si>
  <si>
    <t>SW0997324</t>
  </si>
  <si>
    <t>Hajishirzi</t>
  </si>
  <si>
    <t>hannaneh@cs.washington.edu</t>
  </si>
  <si>
    <t xml:space="preserve">In the context of the five review elements, please _x000D_
evaluate the strengths and weaknesses of the proposal with respect to intellectual merit._x000D_
_x000D_
A brief statement of what the proposal is about:_x000D_
This proposal introduces a new game called two-layered Stackleberg games that extends two-layer games and Stackleberg games. The proposal aims for design models and the theoretical aspects of designing the games through optimizing the leader's action space, the follower's payoff function, and combining these two._x000D_
_x000D_
Strengths: _x000D_
The PI is well qualified for this task. _x000D_
The proposed game model will advance the game theory area by introducing a new game that potentially can be helpful in industry. _x000D_
Weakness: _x000D_
The application domain that the PI is introducing can also be modeled with a reinforcement learning and Markov decision processes framework. How the proposed game theory model is compared with an MDP setup? _x000D_
The deployment methodology and the evaluation strategy for the applications are not so clear. _x000D_
In terms of the theoretical breakthrough, there are no proposals in what theorems or theoretical foundations will be explored._x000D_
_x000D_
In the context of the five review elements, please _x000D_
evaluate the strengths and weaknesses of the proposal with respect to broader impacts._x000D_
_x000D_
Broad impact: _x000D_
--Strengths:_x000D_
- The proposed project if successful could be helpful in real world applications._x000D_
- The PI is very active in mentoring female K-12 students through US computing Olympiad team._x000D_
- The PI is active in supporting diversity in STEM._x000D_
_x000D_
_x000D_
Please evaluate the strengths and _x000D_
weaknesses of the proposal with respect to any additional solicitation-specific review criteria, if _x000D_
applicable_x000D_
_x000D_
Solicitation: _x000D_
Is the research appropriate for the proposed duration?_x000D_
Yes._x000D_
_x000D_
Does the project have potential to produce sufficient preliminary results to serve as the basis for future competitive research proposals?_x000D_
Yes._x000D_
_x000D_
Are the activities necessary and critical steps for the PI to achieve research independence?_x000D_
The activities are necessary. _x000D_
_x000D_
Strength of Department Letter_x000D_
The department letter is strong_x000D_
_x000D_
_x000D_
_x000D_
Summary Statement_x000D_
_x000D_
The proposed project aims for designing a new game strategy that extends two game categories: multi-layered games and Stackelberg games. The proposed model sounds novel, and if successful would be helpful the build the PI's career. The application of the proposed model to real-world applications seems a bit unclear. Also, why real-world applications should use these games compared to other decision making models such as MDPs. _x000D_
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</si>
  <si>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focuses on extending the existing framework of Stackelberg security games to include the prospect of the leader being able to define the game itself by establishing the framework for the later moves.  This is an interesting and important to the existing framework on Stackelberg games and has the potential to have broad impact outside computer science in a number of practical applications._x000D_
_x000D_
2. To what extent do the proposed activities suggest and explore creative, original, or potentially transformative concepts?_x000D_
_x000D_
The proposed activities are a strict generalization of much current research in the area and have the potential to allow for the modeling and solving of new and unique types of games._x000D_
_x000D_
3. Is the plan for carrying out the proposed activities well-reasoned, well-organized, and based on a sound rationale? Does the plan incorporate a mechanism to assess success?_x000D_
_x000D_
The plan is very well formalized and the research streams are related but not in a way that would prevent failure in one of them from bringing down all the others.  There is a clear and well designed set of measure to evaluate the research motivated by real world applications._x000D_
_x000D_
4. How well qualified is the individual, team, or institution to conduct the proposed activities?_x000D_
_x000D_
The PI is very well qualified having published extensively in the are over the last years.  In addition the PI has extensive experience translating research to impact with all of the identified partners._x000D_
_x000D_
5. Are there adequate resources available to the PI (either at the home institution or through collaborations) to carry out the proposed activities?_x000D_
_x000D_
There are sufficient resources to execute the proposal.  The PI has also established impressive relations with a number of outside parties that will help ensure the success of the research plan._x000D_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Stackelberg games have been used extensively in many real world applications over the last decade.  The PI has been involved in these efforts and in bringing the benefits of this research to a number of communities and areas._x000D_
_x000D_
2. To what extent do the proposed activities suggest and explore creative, original, or potentially transformative concepts?_x000D_
_x000D_
The broader impacts are indeed potentially transformative as they will enable the modeling and solving of a larger class of games that more closely follow the instances that are observed in the real world._x000D_
_x000D_
3. Is the plan for carrying out the proposed activities well-reasoned, well-organized, and based on a sound rationale? Does the plan incorporate a mechanism to assess success?_x000D_
_x000D_
There is a clear plan in place to evaluate the success of the project.  There is a well reasoned path to the broader impacts._x000D_
_x000D_
4. How well qualified is the individual, team, or institution to conduct the proposed activities?_x000D_
_x000D_
The PI is very well suited as she has worked with many of the groups necessary to fully realized the broader impacts in the past._x000D_
_x000D_
5. Are there adequate resources available to the PI (either at the home institution or through collaborations) to carry out the proposed activities?_x000D_
_x000D_
The PI has done an outstanding job of securing commitments to cooperate from all the stakeholders necessary to carry out the broader impacts proposed in the research plan._x000D_
_x000D_
Please evaluate the strengths and _x000D_
weaknesses of the proposal with respect to any additional solicitation-specific review criteria, if _x000D_
applicable_x000D_
_x000D_
_x000D_
_x000D_
Summary Statement_x000D_
_x000D_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fruition._x000D_
_x000D_
_x000D_
</t>
  </si>
  <si>
    <t xml:space="preserve">In the context of the five review elements, please _x000D_
evaluate the strengths and weaknesses of the proposal with respect to intellectual merit._x000D_
_x000D_
The author proposes a program to study 2 stage stackleberg games.  In the first stage the committing agents chooses a game to play (pure-strategy), and in the second the committing agent chooses a strategy, which is then responded to by the second player.  This is mostly motivated by security games, where the first agent first must commit to facility locations, or a set of resources._x000D_
_x000D_
The proposal lays out two attacks: _x000D_
_x000D_
1) restrict the design space of the committer to a) a small support of strategies; b) choosing strategy supports from several disjoint sets; and c) choosing a set of resources.  The latter two of these will first be studied in the security game context.  The goal of this part of the proposal is designing fast algorithms / heuristics for the problem.  Though, it is also proposed to study a) theoretically as well.  _x000D_
_x000D_
2) allows the committer, for some cost, to modify the payments of the other agent.  The goal is to use quadratic programs to study properties of the solutions with the goal of greatly speeding up computation.  _x000D_
_x000D_
The PI also proposes studying the difference between the best and worst choices in the first round in several instances.  I am not sure why this is interesting in worst-case examples; but it might show the power of the approach in real-world settings.  _x000D_
_x000D_
_x000D_
The actives are novel and creative, but not transformative.  The plan is well thought out.  _x000D_
_x000D_
The PI is very well qualified.  She has tons of experience in security games and will be adequately resourced._x000D_
_x000D_
An additional note: the proposal's tone is a little defensive about two prior works in this area.  Instead I see this as a strength, saying the other people also feel this is an interesting area.  The PI does a good job of showing how the proposal goes beyond these works._x000D_
_x000D_
_x000D_
In the context of the five review elements, please _x000D_
evaluate the strengths and weaknesses of the proposal with respect to broader impacts._x000D_
_x000D_
This proposal, if successful with have applications to real security games: affecting security and environmental sustainability, conservation agencies, national security agencies, and law regulators who aim to protect wildlife, forest, fish etc._x000D_
Additionally, the PI has a history of supporting diversity in STEM through a variety of programs: WeCode, Hour of Code, and additional outreach activities. _x000D_
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and explain the larger picture (within her research) that it is leading to.  It is not hard to guess an outline of what this might be, but details would be very helpful._x000D_
_x000D_
Summary Statement_x000D_
_x000D_
The proposal is well-scoped.  It addresses an interesting problem by a leader of the field.  It is well motivated by broader impacts.  Unfortunately, it does not explicitly address how this fits into the PIs longer term research goals._x000D_
_x000D_
Moreover, for an Algorithmic Foundations CRII, the theoretical directions need to be more fleshed out._x000D_
_x000D_
</t>
  </si>
  <si>
    <t>Stackelberg games (also called leader-follower games) have received increasing interest given its wide applications in power control, spectrum management, security and environmental sustainability domains. The structure of the game is critical in determining the outcome of the game. When the leader is capable of designing the game structure before playing the game, the design of the game structure is of the same importance as the choice of strategy to play in the game. For example, the strategic interaction between the rangers and the poachers can be considered as a Stackelberg game. Rangers? daily patrols often start from and end with patrol posts which cannot be moved frequently. Therefore, the locations of the patrol posts determine the action space of the rangers in the game. An unwise selection of locations would lead to a huge disadvantage for the rangers, and they cannot achieve a high payoff even if they use the optimal patrol strategy. Similar challenges exist in various domains ranging from pollution inspection, illegal logging prevention to flight protection, where the leader can design the game structure by either defining the action space or the payoff functions before playing the game. However, existing work on Stackelberg games has mostly focused on analyzing the equilibrium or computing the optimal strategy for the leader given a game structure, ignoring the leader?s capability of designing the game structure. The problem of game structure design coupled with strategy selection is under-explored. Solving the problem is challenging especially when the design space is large as the computation of optimal strategy is often hard by itself and the relation between the game structure and the leader?s optimal strategy is often embedded in a non-convex form.The goal of proposed research is to tackle the problem of strategy design in two-layered Stackelberg games where the leader can first modify the game structure within a given design space in the first layer, and then play the game against the follower by deploying a mixed strategy in the second layer. The central hypothesis of the proposed work is that we can simultaneously optimize the choice of the game structure and the leader's strategy efficiently. The intellectual merit of the proposed research rests in a solution for designing optimal strategies for the leader in two-layered Stackelberg games. Specifically, this proposal will develop(1) a framework to analyze the impact of game structure on the leader's optimal strategy and expected payoff in Stackelberg games,(2) mathematical models for the optimization problem in two-layered Stackelberg games,(3) rigorous analyses of the properties of the leader's optimal strategy,(4) algorithms that can handle a large and even infinite set of choices for the leader in the first layer and compute the leader's optimal or near-optimalstrategies efficiently. The proposed research is part of a larger plan to analyze the equilibrium of general two-layered games where all players can take actions to jointly determine the game structure.By combining the design of the game structure and the computation of equilibrium, the proposed research opens up new challenges and leads to new lines of research. In addition, the proposed research can lead to significant impact in security and environmental sustainability domains. In collaboration with several non-government organizations, we plan to apply the results of the proposed research to wildlife conservation and forest protection domains to improve the efficiency of law enforcement. We plan to not only publish our results in relevant conferences and journals but also to promote the tools resulted from the proposed research among practitioners in the environmental conservation community. The goals of the proposed project are in line with the PI's interests in the computation for social good, i.e., providing computational tools that can deliver benefits to the society now or in the near future. The PI also participates in many activities to promote diversity in STEM and to improve science communication. The PI will encourage engagement of undergraduate student in minority groups in the proposed research by sharing the PI's research experience in cross-cultural environments.</t>
  </si>
  <si>
    <t>1755791</t>
  </si>
  <si>
    <t>Goswami</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</si>
  <si>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</si>
  <si>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</si>
  <si>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</si>
  <si>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</si>
  <si>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</si>
  <si>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</si>
  <si>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1755801</t>
  </si>
  <si>
    <t>Zhao</t>
  </si>
  <si>
    <t xml:space="preserve"> Panel Summary       
 Description: _x000D_
The project proposes to work on new nonconvex optimization for data mining and knowledge discovery on large-scale scientific data. The project is motivated by three scientific applications (genomic data analysis, brain image data analysis, and social media data analysis).  _x000D_
_x000D_
There are two main directions, (1) to develop a new area of model-based nonconvex optimization using knowledge of statistical data generation to avoid worst case convergence rate, and (2) to improve the efficiency of well-known nonconvex optimization problems. The proposal will study learning sparse representation, and learning low rank representation with the above two goals. _x000D_
_x000D_
From the perspective of optimization, the global solutions of nonconvex minimization problems are generally intractable to obtain. Hence the goal is to converge to a unique local solution with desirable statistical properties in polynomial time. Moreover, cost per iteration needs to be low. Both of these can be achieved if data satisfies certain model assumptions. The project proposes to develop new model-based coordinate optimization framework, Newton-type coordinate optimization with better iteration complexity and new non-convex loss functions that are efficient to handle etc. _x000D_
_x000D_
For low rank representation learning, instead of considering a convex relaxation and then solving the relaxed problem, the project proposes to reformulate the underlying problem as a factorization minimization problem which will help in efficiency. _x000D_
_x000D_
Intellectual Merit: _x000D_
Strengths _x000D_
+ Studying nonconvex optimization is a very important topic._x000D_
+ The PI is well-qualified to conduct the aforementioned research._x000D_
+ The empirical approaches are well laid out._x000D_
_x000D_
Weaknesses _x000D_
- The PI does not propose any specific research direction to pursue in the application areas, say, genomic data analysis._x000D_
_x000D_
-From a theoretical perspective, the proposal is somewhat lacking. For example, the project wants to focus on low-rank representation learning by designing algorithms that avoid to compute, say, the SVD of a large matrix at each step. However, no concrete approach is provided to achieve that. Some problems are also considered notoriously difficult problems in TCS, and again no plausible approach was given._x000D_
_x000D_
_x000D_
Broader Impact: _x000D_
Strengths _x000D_
_x000D_
+ The broader impacts of the proposed research could be significant. He has significant prior applied work (including a second author Nature paper)._x000D_
_x000D_
Weakness_x000D_
- The PI fails to discuss in more detail future applied research directions. _x000D_
_x000D_
Data Management Plan: Adequate _x000D_
_x000D_
Suggestions to PI: _x000D_
_x000D_
The proposal could be significantly strengthened by a more detailed description of the applications and the collaborations that the PI has in place in order to get access to real data. The theoretical part of the proposal also needs to be discussed in more details in order to understand the type of contributions that the PI hopes to make. It does not explicitly address how this fits into the PIs longer term research goals. _x000D_
_x000D_
_x000D_
_x000D_
Justification for Panel Rating: _x000D_
_x000D_
The theoretical questions in the proposal are not well developed and the proposal was considered to be not a strong fit for Algorithmic Foundations._x000D_
_x000D_
_x000D_
_x000D_
Panel Rating: _x000D_
_ Highly Competitive _x000D_
_ Competitive _x000D_
X Low Competitive _x000D_
_ Not Competitive _x000D_
_x000D_
The summary was read to the panel and the panel concurred that the summary accurately reflects the panel discussion. 
</t>
  </si>
  <si>
    <t>P180190</t>
  </si>
  <si>
    <t xml:space="preserve"> CRII- Weng-keen</t>
  </si>
  <si>
    <t xml:space="preserve"> Panel Summary       
  The proposal seeks to develop new algorithms for nonconvex optimization models arising from statistical estimation problems and to leverage geometric properties that hold with high probability. The nonconvexity arises from sparsity- and low-rank-inducing regularization. The proposal seeks to combine insights both from inferential and computational understanding of the problem and to leverage properties guaranteed by random designs so to guarantee a combination of statistical and computational guarantees, whereas some other work may focus on one and not the other. The tools employed include homotopy methods and active set approaches. The PI is motivated by three scientific applications (genomic data analysis, brain image data analysis, and social media data analysis). _x000D_
_x000D_
INTELLECTUAL MERIT_x000D_
_x000D_
--Strengths_x000D_
+ The research is notable for combining optimization algorithmic approaches with statistical inferential approaches to successfully attack some very hard problems._x000D_
+ The research work has many domain-specific scientific applications. _x000D_
+ The problems are very well motivated._x000D_
+ If successful, this project could result in the efficient and scalable nonconvex optimization algorithms for large scale data analysis. _x000D_
+ Aim B raises some very novel ideas on how to address symmetries when using stochastic optimization._x000D_
+ The PI has a record of successful work in nonconvex optimization, and is qualified to conduct the proposed activity. _x000D_
+ The research tasks outlined are appropriate. _x000D_
_x000D_
--Weaknesses_x000D_
- Some of the proposed work in Aim A appears consists mostly of perturbations around existing work of the PI rather than developing a groundbreaking "new area" in nonconvex optimization promised in the beginning._x000D_
- The proposal does not say what metrics will be used for assessing success, nor is there a plan for empirical validation of the technique. _x000D_
- It is not clear why the applications mentioned will specifically benefit from the innovations in the proposal. In particular, looking at the Nature paper mentioned, the connections to the developments in the proposal are not clear at all._x000D_
- The number of references cited is very large but at the same time uninformative, being not all completely relevant and making it very hard to follow the contextualization of the work in the existing literature. In addition, the reference numbering is wrong, e.g., Nature paper is cited as 416, but it is 414 in the reference._x000D_
_x000D_
BROADER IMPACTS, INCLUDING ENHANCING DIVERSITY_x000D_
--Strengths_x000D_
+ The ability to solve non-convex optimization problems efficiently is important in many applications, including the bio-medical ones highlighted in this proposal._x000D_
+ The research will produce software that can be used to solve large estimation problems in practice. _x000D_
+ The PI has a history of open source contributions._x000D_
+ PI will incorporate application domain data into courses. _x000D_
+ The PI has some prior history of working with practitioners on important problems._x000D_
_x000D_
--Weaknesses_x000D_
- It is not clear how the advances from the research, which are mostly theoretical, will actually have significant impact on the applications or how the PI will evaluate success in these cases._x000D_
- In particular, the role in the Nature paper is not clear as is the relevance of the research proposed._x000D_
- There is nothing to corroborate the collaborations planned as part of the research._x000D_
- There is nothing to corroborate access to the application data. Medical data, in particular, is painstaking to obtain access to and it may not be possible for the PI to get access to this data within the duration of the project._x000D_
- There is no specific educational plan on how to incorporate undergraduate students into the research or how to do any sort of outreach to minority students. _x000D_
_x000D_
ADDITIONAL REVIEW CRITERIA:_x000D_
_x000D_
-- Is the research appropriate for the proposed duration?_x000D_
Mostly appropriate, but it is definitely not clear that the research will start a "new area" within the proposed duration and with the research proposed._x000D_
_x000D_
-- Does the project have potential to produce sufficient preliminary results to serve as the basis for future competitive research proposals?_x000D_
Some of the research consists only of tweaks to existing methods which may not produce preliminary result for future, new research. The rest, however, does propose new ideas on how to address symmetries and on using momentum, and this could very well generate the results that could support a future proposal expanding on these ideas. Moreover, investigation into the application in different domains could generate strong results on the relevance of the research to applications, but unfortunately it is only mentioned in passing with no concrete details._x000D_
_x000D_
-- Are the activities necessary and critical steps for the PI to achieve research independence?_x000D_
Only in part. Again, some research activities involve heuristic tweaks to existing work of the PI done under the supervision of an advisor, and this work will not necessarily lead to research independence. The work on more novel ideas as presented in Aim B could certainly lead to research independence. On the negative side, the PI would need to demonstrate the usefulness of the proposed research to build up this research program but this is not sufficiently fleshed out in the proposal. While it is clear there is strong potential since the PI has participated in application-driven collaborations, there is nothing specific tied to the present proposal or any letters of collaboration._x000D_
_x000D_
DEPARTMENT SUPPORT LETTER: _x000D_
The letter only verified eligibility but it does not sufficiently describe the support that the department will provide to ensure that the project will be successful. In particular, there is no mention of the necessary mentoring._x000D_
_x000D_
DATA MANAGEMENT PLAN:_x000D_
Mostly adequate. However, the plan does not explain how the sensitive medical data (brain imaging and genomics) will be handled in an appropriate way._x000D_
_x000D_
POST-DOCTORAL MENTORING PLAN (if applicable): _x000D_
N/A_x000D_
_x000D_
COLLABORATIONS (if applicable): _x000D_
No letters provided to support the collaborations planned._x000D_
_x000D_
ADDITIONAL SUGGESTIONS: _x000D_
The PI would do well to better demonstrate the practical relevance of the research products to the applications used to motivate the research. Moreover, the PI should better demonstrate the they have access to the data necessary to conduct the planned research as well as corroborate the planned collaborations. The PI would do well to make the references cited more focused and relevant to the proposal. The PI should also be more clear and concrete on their education plan and also explain how they will increase the participation of groups underrepresented in CISE._x000D_
_x000D_
PANEL RECOMMENDATION AND JUSTIFICATION, INCLUDING BRIEF STATEMENT OF KEY STRENGTHS AND/OR CRITICAL WEAKNESSES	_x000D_
_x000D_
The project tackles some very important problems and is notable for combining statistical analysis with computational analysis, in particular using the randomness of the design to ensure both statistical and computational guarantees for the methods proposed. The project proposes some truly new ideas in the realm of low-rank learning but also some merely incremental ideas in the realm of sparse learning. The applications that motivate the research are very important as are the corresponding optimization problems addressed. But on the negative side it is not sufficiently clear what the impact of the research products will actually be on these applications. In addition, the proposal does not do a sufficiently good job of positioning itself clearly in the state of the art today. The project could have wide ranging impacts, especially since a software package will be a product on the project. The PI has a strong track record both in the research area and in application-driven collaborations. However, there is no documentation corroborating the collaborations or access to the sensitive data needed to conduct the research._x000D_
_x000D_
Ranking (check one)_x000D_
__ Highly Competitive_x000D_
_X_ Competitive_x000D_
__ Low Competitive_x000D_
__ Not Competitive_x000D_
_x000D_
The summary was read by the panel, and the panel concurred that the summary accurately reflects the panel discussion._x000D_
_x000D_
  _x000D_
</t>
  </si>
  <si>
    <t>D</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</si>
  <si>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directions._x000D_
_x000D_
</t>
  </si>
  <si>
    <t xml:space="preserve">In the context of the five review elements, please _x000D_
evaluate the strengths and weaknesses of the proposal with respect to intellectual merit._x000D_
_x000D_
The PI proposes to work on model-based non-convex optimization for data mining and knowledge discovery on large-scale scientific data. The PI is motivated by three scientific applications (genomic data analysis, brain image data analysis, and social media data analysis). In the first domain, the PI actually has a Nature paper (as a second author), so it's obvious that he has significant relevant background and contributions in the domain. However, the proposal does not describe any specific research direction that the PI proposes to pursue in, say, genomic data analysis; the proposal could be significantly strengthened by a more detailed description of the applications and the collaborations that the PI has in place in order to get access to real data._x000D_
_x000D_
From a theoretical perspective, the proposal is somewhat lacking. For example, the PI wants to focus on low-rank representation learning, by designing algorithms that avoid to compute, say, the SVD of a large matrix at each step. He wants to take into account statistical model properties in order to prove that worst-case case instances for the underlying problems do not arise. The PI does not offer a concrete lamppost explaining how he will do that: e.g., the proposed research B in page 9 talks about leveraging the weak convergence of discrete_x000D_
Markov chains to their continuous time limits, hoping to use such tools to understand the convergence of optimization algorithms. These are notoriously difficult problems in TCS and without further details I don't see why there is any hope for progress in this domain._x000D_
_x000D_
In the context of the five review elements, please _x000D_
evaluate the strengths and weaknesses of the proposal with respect to broader impacts._x000D_
_x000D_
The broader impacts of the proposed research could be significant, but the PI fails to discuss in more detail future applied research directions. He has significant prior applied work (including a second author Nature paper), but future plans are lacking._x000D_
_x000D_
Please evaluate the strengths and _x000D_
weaknesses of the proposal with respect to any additional solicitation-specific review criteria, if _x000D_
applicable_x000D_
_x000D_
See discussion above._x000D_
_x000D_
Summary Statement_x000D_
_x000D_
A good proposal, which could be improved by better outlining connections to practical applications and real data. The theoretical part of the proposal also needs to be discussed in more details in order to understand the type of contributions that the PI hopes to make._x000D_
_x000D_
</t>
  </si>
  <si>
    <t>QY1007388</t>
  </si>
  <si>
    <t>Ji</t>
  </si>
  <si>
    <t>sji@cs.gsu.edu</t>
  </si>
  <si>
    <t xml:space="preserve">In the context of the five review elements, please _x000D_
evaluate the strengths and weaknesses of the proposal with respect to intellectual merit._x000D_
_x000D_
Summary:_x000D_
_x000D_
This proposal aims to develop new nonconvex optimization frameworks to address the convergence and scalability issues of large scale machine learning problems, such as nonconvex sparse learning and nonconvex low rank representation learning._x000D_
_x000D_
Strengths:_x000D_
+ Aim A: model-based coordinate optimization for nonconvex sparse learning is new, and could potentially covers a wide range of problems and algorithms._x000D_
+ Aim B: nonconvex stochastic optimization is a highly valuable and challenging research area, and could potentially advance many ML/DL applications._x000D_
+ The research tasks outlined are appropriate._x000D_
+ The PI has a record of successful work in nonconvex optimization, and is qualified to conduct the proposed activity. _x000D_
_x000D_
Weaknesses:_x000D_
- The proposal refers to over 400 papers. It's hard for the reviewer to follow all of them. It might be better to cite the most relevant and seminal ones._x000D_
- The proposal does not say what metrics will be used for assessing success, nor is there a plan for empirical validation of the technique._x000D_
_x000D_
_x000D_
In the context of the five review elements, please _x000D_
evaluate the strengths and weaknesses of the proposal with respect to broader impacts._x000D_
_x000D_
Strengths:_x000D_
+ If successful, this project could result in the efficient and scalable nonconvex optimization algorithms for large scale data analysis._x000D_
+ The innovations in nonconvex stochastic optimization have potential applications in many other fields, including deep learning._x000D_
+ Software will be released as open source._x000D_
_x000D_
Weaknesses:_x000D_
- No specific execution plan (resource and timelines) on how the proposed research will be conducted._x000D_
- No specific educational plan on how to incorporate undergraduate students and minority students into the research. _x000D_
_x000D_
_x000D_
Please evaluate the strengths and _x000D_
weaknesses of the proposal with respect to any additional solicitation-specific review criteria, if _x000D_
applicable_x000D_
_x000D_
_x000D_
_x000D_
Summary Statement_x000D_
_x000D_
I think this is a good project. Nonconvex optimization is emerging as one of the most important and challenging problems in ML and DL research nowadays, and the PI has a record of successful work in related areas. Although the PI's previous work is a good indication of potential success of the proposed work, limited preliminary work (without data support) is a concern._x000D_
_x000D_
</t>
  </si>
  <si>
    <t>PC1007389</t>
  </si>
  <si>
    <t>Kallus</t>
  </si>
  <si>
    <t>kallus@cornell.edu</t>
  </si>
  <si>
    <t xml:space="preserve">In the context of the five review elements, please _x000D_
evaluate the strengths and weaknesses of the proposal with respect to intellectual merit._x000D_
_x000D_
A brief statement of what the proposal is about:_x000D_
* The proposal seeks to develop new algorithms for nonconvex optimization models arising from statistical estimation problems and to leverage geometric properties that hold with high probability._x000D_
_x000D_
--Strengths:_x000D_
* The research is notable for combining optimization algorithmic approaches with statistical inferential approaches to successfully attack some very hard problems._x000D_
* The PI seems to have a good track record of working in this area._x000D_
* The research work has many domain-specific scientific applications._x000D_
* Developed algorithm can solve important statistical problems and be certified with both computational and statistical guarantees._x000D_
_x000D_
--Weaknesses:_x000D_
* Some of the research seems like small perturbations to the existing work by the PI, just adding dressing to work that was already completed. _x000D_
_x000D_
_x000D_
In the context of the five review elements, please _x000D_
evaluate the strengths and weaknesses of the proposal with respect to broader impacts._x000D_
_x000D_
--Strengths:_x000D_
* Research will produce software that can be used to solve large estimation problems in practice._x000D_
* Will incorporate application domain data into courses._x000D_
_x000D_
--Weaknesses:_x000D_
* No letters of collaboration to corroborate the collaboration with medical scientists._x000D_
* No letters of collaboration to corroborate access to the data needed to conduct the domain-specific applications._x000D_
* The project does nothing to improve outreach to groups underrepresented in CISE._x000D_
_x000D_
_x000D_
Please evaluate the strengths and _x000D_
weaknesses of the proposal with respect to any additional solicitation-specific review criteria, if _x000D_
applicable_x000D_
_x000D_
Is the research appropriate for the proposed duration?_x000D_
* Appropriate_x000D_
_x000D_
Does the project have potential to produce sufficient preliminary results to serve as the basis for future competitive research proposals?_x000D_
* Yes._x000D_
_x000D_
Are the activities necessary and critical steps for the PI to achieve research independence?_x000D_
* Yes._x000D_
_x000D_
Strength of Department Letter_x000D_
* Generic. Nothing specific about the PI's achievements or abilities._x000D_
_x000D_
_x000D_
_x000D_
Summary Statement_x000D_
_x000D_
The proposal combines statistical and computational thinking in a novel way to address difficult nonconvex estimation problems that are important in several application domains. The proposal is well developed, well documented, and well researched. There is sufficient preliminary results and a successful track record to suggest the proposal will be successful. The project, however, could do more to ensure that the research will improve education and outreach to underrepresented groups._x000D_
_x000D_
_x000D_
</t>
  </si>
  <si>
    <t xml:space="preserve">In the context of the five review elements, please _x000D_
evaluate the strengths and weaknesses of the proposal with respect to intellectual merit._x000D_
_x000D_
In this proposal the PI suggests studying Multi-Armed Bandits towards understanding how to tune performance based on the variance of the experts and the gap between the best experts on the rest. 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contains ideas for integrating education with the goals of the proposal._x000D_
_x000D_
Please evaluate the strengths and _x000D_
weaknesses of the proposal with respect to any additional solicitation-specific review criteria, if _x000D_
applicable_x000D_
_x000D_
_x000D_
_x000D_
Summary Statement_x000D_
_x000D_
This proposal meets the requirements for CRII funding._x000D_
_x000D_
</t>
  </si>
  <si>
    <t>XP0898285</t>
  </si>
  <si>
    <t>Roy-Chowdhury</t>
  </si>
  <si>
    <t>amitrc@ee.ucr.edu</t>
  </si>
  <si>
    <t xml:space="preserve">In the context of the five review elements, please _x000D_
evaluate the strengths and weaknesses of the proposal with respect to intellectual merit._x000D_
_x000D_
The proposal aims to develop novel non-convex optimization frameworks to address challenges in data mining and knowledge discovery. Applications in genomic data analysis and brain imaging are considered. _x000D_
_x000D_
Strengths: The need for efficient non-convex optimization methods is clear given the amount and complexity of data that is being collected. The proposal correctly identifies this to be a relevant problem. Certain specific approaches are also highlighted. The application domains of brain imaging and genomic data analysis are relevant. The PI has strong publications in top venues._x000D_
_x000D_
Weaknesses: The proposal suffers from a lack of clarity as to what it will achieve. A claim is made that a "new area" of model-based non-convex optimization will be developed. However, for both aims the specific approaches outlined are heuristics that would allow one to overcome some limitations that currently hinder performance. As one example, the screening rules mentioned in A.3 are a simple pre-processing step. This is true for each of the subaims. Overall, the proposal fails to provide a clear idea of what its contributions will be._x000D_
_x000D_
In the context of the five review elements, please _x000D_
evaluate the strengths and weaknesses of the proposal with respect to broader impacts._x000D_
_x000D_
Strengths: _x000D_
The ability to solve non-convex optimization problems efficiently is important in many applications, including the bio-medical ones highlighted in this proposal. The PI has collaborations with other researchers that will enable this. Some integration of the research into the courses is also mentioned. _x000D_
_x000D_
Weaknesses:_x000D_
No specific approaches for applying the methods, or convincing results on existing data, are mentioned. This raises concerns about how the proposed method will proposed methods will be applied, and indeed their applicability in the first place. The integration with education is also minimally described._x000D_
_x000D_
Adequacy of Data Management Plan: I found this lacking. Although brain imaging and genomic data is mentioned, the DMP does not state how these will be handled. Maybe they are already addressed by the collaborators, but it would be good to know how the PI will handle the data._x000D_
_x000D_
_x000D_
Adequacy of Postdoctoral Mentoring Plan (if applicable): N/A_x000D_
_x000D_
_x000D_
_x000D_
Please evaluate the strengths and _x000D_
weaknesses of the proposal with respect to any additional solicitation-specific review criteria, if _x000D_
applicable_x000D_
_x000D_
Is the research appropriate for the proposed duration?_x000D_
Given the weaknesses in the technical merit mentioned above, it is not clear to me. The claim to start a "new area" withing the limits of this grant seem exaggerated. _x000D_
_x000D_
_x000D_
Does the project have potential to produce sufficient preliminary results to serve as the basis for future competitive research proposals?_x000D_
Unsure. There may be some theoretical insights. Applicability in different domains is only mentioned with no details. _x000D_
_x000D_
Are the activities necessary and critical steps for the PI to achieve research independence?_x000D_
The PI needs to extend beyond the scope outlined here and demonstrate the usefulness of the approaches. Theoretically, it is not evident to me that the contributions are unique enough to stand out on their own, without being tied to an application. _x000D_
_x000D_
_x000D_
Strength of Department Letter: The letter does not mention what kind of support the department will provide, nor is there any mention of mentoring._x000D_
_x000D_
Summary Statement_x000D_
_x000D_
The proposal addresses an important problem of non-convex optimization. However, it is seriously lacking is multiple aspects. The methods claimed as novel theory are essentially heuristics to overcome some shortcomings of existing methods. Although applications are mentioned, there are no details, and no letters of support provided that would prove that the PI has access to the kind of data needed to succeed in the research._x000D_
_x000D_
</t>
  </si>
  <si>
    <t xml:space="preserve">In the context of the five review elements, please _x000D_
evaluate the strengths and weaknesses of the proposal with respect to intellectual merit._x000D_
_x000D_
The objective of the proposal is to develop new nonconvex optimization frameworks for various machine learning tasks. _x000D_
_x000D_
There are two main directions, (1) to develop a new area of model-based nonconvex optimization using knowledge of statistical data generation to avoid worst case convergence rate, and (2) to improve the efficiency of well-known nonconvex optimization problems. _x000D_
_x000D_
PI will study nonconvex optimization for learning sparse representation, and learning low rank representation with the goal of (1) and (2). PI proposes several new ideas based on PI's prior works. From the perspective of optimization, the global solutions of nonconvex minimization problems are generally intractable to obtain, and hence the goal is to converge to unique local solution with desirable statistical properties in polynomial time. Moreover, cost per iteration needs to be low. Both of these can be achieved if data satisfies certain model assumptions. The PI proposes to develop new model-based coordinate optimization framework , newton-type coordinate optimization with better iteration complexity, new loss functions that are efficient to handle etc. For low rank representation learning that are mostly formed as low rank matrix or tensor optimization problems. For these problems, standard approach is to consider a convex relaxation and then solve the relaxed problem. PI proposes new way to gain scalability and efficiency by reformulating the underlying problem as a factorization minimization problem. _x000D_
_x000D_
Summary of strength and weakness: The proposal is on an important topic of machine learning and the PI has solid background there. However, I am not quite sure how this proposal fits into AF._x000D_
_x000D_
In the context of the five review elements, please _x000D_
evaluate the strengths and weaknesses of the proposal with respect to broader impacts._x000D_
_x000D_
PI is involved in various interdisciplinary activities, specifically he has active collaboration with biomedical researchers and this research can be have direct impact there.  The algorithms from this research will be implemented and softwares will be released._x000D_
_x000D_
Please evaluate the strengths and _x000D_
weaknesses of the proposal with respect to any additional solicitation-specific review criteria, if _x000D_
applicable_x000D_
_x000D_
_x000D_
_x000D_
Summary Statement_x000D_
_x000D_
It is a good proposal on a very important topic but AF may not be the appropriate division for it._x000D_
_x000D_
</t>
  </si>
  <si>
    <t>HZ1007762</t>
  </si>
  <si>
    <t>katyas@lehigh.edu</t>
  </si>
  <si>
    <t xml:space="preserve">In the context of the five review elements, please _x000D_
evaluate the strengths and weaknesses of the proposal with respect to intellectual merit._x000D_
_x000D_
This proposal describes several settings of nonconvex optimization arising in machine learning that the PI intends to address. Specifically, there are two parts to the proposal. The first part addressed large scale problems for sparse learning with possibly nonconvex penalty functions to induce sparsity, and the second part _x000D_
addresses nonconvex specially structured problems such as low rank matrix factorization. _x000D_
_x000D_
The earlier part of the proposal describes the aims in very general terms and gives a somewhat misleading impression that very general and transformative methodologies will be proposed. The "current" optimization methods that are described are mainly optimization methods developed in the last decade or so for convex problems. However, nonconvex optimization has very long history with many methods. While these methods do not always apply directly to the new ML settings, in the last several years there has been a surge of work in that area as well by adapting these classical methods in appropriate ways. _x000D_
_x000D_
Once the PI gets to describing the proposed methods and ideas - they turn out to be fairly specific and based on his prior work. The first type of problems are addressed by coordinate optimization schemes with active set selection. I have some concerns about this part of the proposal. I assume that the only type of nonconvexity the PI considers here is a nonconvex (separable) penalty, because otherwise the coordinate approach is unlikely to work. However, such problems have been addressed before by many authors, and I am not sure how novel the proposed algorithms are in comparison. Similarly, proximal Newton methods based on coordinate optimization have been proposed and analyzed in depths, ans so have been active set methods of various kinds. The active set method described in Aim A.3 seems to be one of the classical methods, however, it needs careful consideration and implementation and is not guaranteed to work without full scan of coordinates. _x000D_
Finally, linear convergence rates under milder assumptions than strong convexity is also a well researched topics with multiple new results._x000D_
_x000D_
I find Aim B to be somewhat more novel compared to the existing work, if I understood it correctly. It appears that the PI has identified some  modification for the matrix factorization problem which leads to good properties for optimization. The plan to develop these ideas further and turn them into efficient algorithms. It is unclear to me if this work can go beyond low rank matrix representation. _x000D_
_x000D_
The number of citations is on the one hand extremely long and on the other hand is not as informative and as relevant to the proposal as would be desirable. _x000D_
_x000D_
_x000D_
_x000D_
In the context of the five review elements, please _x000D_
evaluate the strengths and weaknesses of the proposal with respect to broader impacts._x000D_
_x000D_
The broader impacts of this research seem to be overstated in the introduction. The PI lists several important applications of the ML models that he is planning to address, however, it is unclear why some of the advances, which are mainly theoretical, will have a significant impact on these applications. On the other hand, the PI has some prior history of working with practitioners on important problems (he cites a publication in Nature magazine, but it is unclear what his role was in this work). _x000D_
His prior history of open source software is an advantage, as long as the software is being used._x000D_
_x000D_
Please evaluate the strengths and _x000D_
weaknesses of the proposal with respect to any additional solicitation-specific review criteria, if _x000D_
applicable_x000D_
_x000D_
_x000D_
_x000D_
Summary Statement_x000D_
_x000D_
This proposal contains good ideas and specific methods, but does not do a very good job of positioning these ideas clearly in the current state-of-the-art._x000D_
_x000D_
</t>
  </si>
  <si>
    <t xml:space="preserve">In the context of the five review elements, please _x000D_
evaluate the strengths and weaknesses of the proposal with respect to intellectual merit._x000D_
_x000D_
This proposal will begin work on a more systematic approach to non-convex optimization in the sparse and law rank regimes.  _x000D_
_x000D_
In the first thrust, we consider a sparse regime.  Prior work from the PI shows that things can be greatly sped up by maintaining a list of important coordinates.  The proposed research will build on this by exploiting geometric properties such as restricted strong convexity, restricted strong smoothness, and restricted self-concordance.  (The proposal does not specifically state how rife these properties are in real-life instances).  The first approach will use newton-typo methods.  Then they will be generalized to non-smooth loss functions.  Finally, the algorithms will screen based on KKT-conditions.  The evaluation of this section is largely empirical.  _x000D_
_x000D_
The second thrust is to study low rank solutions.  The proposed solution is non-convex and found to have many saddle points, however, all the local minimum are global minimum.  The goal then is to quickly escape from the saddle points.  The proposed solutions are to better model the situation as a stochastic differential equation.  Using this to more rigorously analyze momentum models, and finally extend these results to cases with additional constraints.  It is not clear how this approach relates to prior work, e.g. citation 342.  _x000D_
_x000D_
The proposal studies interesting questions.  The empirical approaches are well laid out.  The theoretical approaches are a little vague, especially as it relates to previous research.  _x000D_
_x000D_
The PI is qualified and has access to adequate resources.  _x000D_
_x000D_
_x000D_
In the context of the five review elements, please _x000D_
evaluate the strengths and weaknesses of the proposal with respect to broader impacts._x000D_
_x000D_
This proposal, if successful with have applications to non-convex optimization, which is widely used in machine learning applications.  The research will produce software that is disseminated.  Additionally, the PI will incorporate the research into two of his courses._x000D_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It is not hard to guess an outline of what this might be, but details would be very helpful._x000D_
_x000D_
Summary Statement_x000D_
_x000D_
The proposal is well-scoped.  The proposal studies interesting questions.  The empirical approaches are well laid out.  The theoretical approaches are a little vague, especially as it relates to previous research.  It does not explicitly address how this fits into the PIs longer term research goals._x000D_
_x000D_
</t>
  </si>
  <si>
    <t>The objective of this proposal is to develop new nonconvex optimization frameworks to address the challenges of data mining and  knowledge discovery on large-scale scientific data. To break several crucial bottlenecks {in applying} optimization techniques {to} modern representation learning problems, this project will develop (i) {a new area named model-based nonconvex optimization}, which leverages sophisticated statistical thinking in modern optimization and naturally bridges research from different areas{, such as} machine learning, optimization, statistics and stochastic analysis; (ii) {novel nonconvex optimization frameworks and theories}, {leading to more} efficient and scalable algorithms with strong theoretical guarantees that {would} help scientists solve various representation learning problems in {many} sophisticated data analysis.This proposal is built upon earlier works of the PI, which leverage statistical thinking in modern optimization to attack nonconvex problems in machine learning. Due to the availability of massive data, nonconvex optimization has become more and more important in machine learning over the past decade. The proposed research aims to strengthen classic optimization to open up new possibilities for cutting-edge nonconvex optimization problems in representation learning. Moreover, the proposed research will not only focuses on deeper theoretical understanding of the_x000D_
challenging issues in nonconvex optimization, but also develop new algorithmic frameworks leading to more efficient and scalable representation learning. The proposed research is promising in leading to innovation not only in theory, but also in practical applications.We see three main aspects in which the proposed research will have broad impacts. (1) We see an urgent need for powerful optimization algorithms to handle massive datasets. However, the usage of large-scale optimization techniques is currently limited --- we still lack adequate methodology, theory, and computational techniques. By simultaneously addressing all these aspects, this project is expected to deliver useful nonconvex optimization algorithms that benefit all relevant scientific areas; (2) The deliverables of this project include easy-to-use software for representation learning.  Such software directly helps scientists to explore and analyze complex datasets. (3) The PI is collaborating with biomedical researchers and medical imaging scientists from Georgia Tech and University of Pennsylvania on analyzing scientific data. These collaborations will ensure the more direct impact of this project to the targeted scientific communities. Moreover, the PI will offer classes to teach modern nonconvex optimization techniques for analyzing massive data at Georgia Tech.</t>
  </si>
  <si>
    <t>1755885</t>
  </si>
  <si>
    <t>Hosseini</t>
  </si>
  <si>
    <t xml:space="preserve"> Panel Summary       
 Description:_x000D_
This proposal looks at one-sided matching problems in which the agents being matched have preferences over who they are matched with, and act in their own self-interest. It focuses on a setting where agent preferences change over time (according to some random process), and the online setting where the items agents can be matched with change over time. The goal is to form efficient, fair, and truthful matching mechanisms._x000D_
_x000D_
_x000D_
Intellectual Merit:_x000D_
Strengths_x000D_
  + The matching problems have wide applicability. The PI has identified some important problems in this area._x000D_
_x000D_
  + The PI is well-qualified to study these topics, and has preliminary work in the area._x000D_
_x000D_
  + The proposed research on online settings and existence of EF1 (envyfree up to one item) in these settings seems promising. _x000D_
_x000D_
Weaknesses_x000D_
_x000D_
   - The PI does not give enough details about the proposed research, and neither the preliminary work nor other discussion give an indication about how the PI plans to proceed in order to solve the problems they are proposing._x000D_
_x000D_
  - There is no evaluation plan for the project._x000D_
_x000D_
_x000D_
Broader Impact:_x000D_
Strengths_x000D_
  + The PI has identified a domain (course registration at RIT) where he can apply his algorithms.   _x000D_
_x000D_
  + Mentoring graduate and undergraduate students; the PI has a history of working with undergrads and organizing seminars._x000D_
_x000D_
  + Interactive workshops and improving CS education and its accessibility._x000D_
_x000D_
_x000D_
_x000D_
_x000D_
Data Management Plan:_x000D_
Adequate_x000D_
_x000D_
Justification for Panel Rating:  _x000D_
The proposal needs more preliminary work and more details on the proposed research._x000D_
_x000D_
_x000D_
Panel Rating:_x000D_
_ Highly Competitive_x000D_
_ Competitive_x000D_
X Low Competitive_x000D_
- Not Competitive_x000D_
_x000D_
The summary was read 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</si>
  <si>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looks at one-sided matching problems in which the agents being matched have preferences over who they are matched with, and act in their own self-interest. This is a gigantic field with lots of existing work; this proposal specifically focuses on a setting where agent preferences change over time (according to some random process), and the online setting where the items agents can be matched with change over time. The goal is to form efficient (usually Pareto-efficient, since this is an ordinal setting), fair (for example, envy-free), and truthful matching mechanisms._x000D_
_x000D_
Strengths:_x000D_
_x000D_
+ The PI is well-qualified to study these topics, and has preliminary work in the area._x000D_
_x000D_
+ The scope of the proposal is about right: these questions will likely lead to some very nice papers, and will lead to some nice insights in the long-term, but the questions are solvable in approximately two years. Matching with self-interested agents is an important topic with many real applications, and looking at dynamic and online matching is an important and useful direction._x000D_
_x000D_
+ Looking at EF1 fairness makes sense, and as far as I know has not been done for online settings._x000D_
_x000D_
Weaknesses:_x000D_
_x000D_
- The PI does not give enough details about the proposed research, and neither the preliminary work nor other discussion give an indication about how the PI plans to proceed in order to solve the problems they are proposing. For research challenge 1, the proposal does not explain what it means to be "truthful for dynamic settings" instead of for static ones, or what it means to be "near-optimal" when the only measure of efficiency that is being considered is Pareto-efficiency. After Research Challenge 1 the PI mentions "Our approach", but it is not clear what this approach refers to, and would need a lot more detail. For Research Challenge 3, the preliminary work only seems to indicate that maximizing NSW is not the right thing to do, but gives no indication for how one would go about proving the existence of or computing an EF1 allocation._x000D_
_x000D_
Suggestions for Improvement: Talk more about the research directions and possible approaches to solving them. If more space is needed, it is probably OK to reduce the amount of space devoted to precisely explaining the preliminary work (unless that explanation also tells the reader how you plan to approach the proposed research), or the broader impact section._x000D_
_x000D_
_x000D_
In the context of the five review elements, please _x000D_
evaluate the strengths and weaknesses of the proposal with respect to broader impacts._x000D_
_x000D_
Strengths:_x000D_
_x000D_
+ Matching algorithms are used in a variety of real-world settings, and many of them are dynamic or online. This work would likely yield nice insights and useful algorithms for such settings._x000D_
_x000D_
+ The PI is building a tool for matching students with classes at RIT; this tool may be adjusted for other applications in the future._x000D_
_x000D_
+ Mentoring graduate and undergraduate students; the PI has a history of working with undergrads and organizing seminars_x000D_
_x000D_
+ Interactive workshops and improving CS education and its accessibility_x000D_
_x000D_
Please evaluate the strengths and _x000D_
weaknesses of the proposal with respect to any additional solicitation-specific review criteria, if _x000D_
applicable_x000D_
_x000D_
_x000D_
_x000D_
Summary Statement_x000D_
_x000D_
A proposal on interesting topics from a qualified PI, but the proposal does not explain the proposed research in enough detail._x000D_
_x000D_
</t>
  </si>
  <si>
    <t xml:space="preserve">In the context of the five review elements, please _x000D_
evaluate the strengths and weaknesses of the proposal with respect to intellectual merit._x000D_
_x000D_
I think this is a great CRII proposal in terms of research questions, approaches and scope. It focuses on matching in sequential settings and brings two perspectives together to study the problems. The first is the economic perspective that concerns truthfulness and fairness of matching, but often in a static matching setting. The second approach is the AI/algorithmic approach that considers the dynamic setting. This proposed research studies fair and truthful mechanisms for sequential matching. It will advance the status quo on dynamic mechanism design without money. _x000D_
_x000D_
_x000D_
In the context of the five review elements, please _x000D_
evaluate the strengths and weaknesses of the proposal with respect to broader impacts._x000D_
_x000D_
Nice spillover effects to education and society:_x000D_
+curriculum development_x000D_
+student advising_x000D_
+implementation of a new matching market for course registration_x000D_
+novel pedagogical techniques_x000D_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</si>
  <si>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Strengths:_x000D_
_x000D_
The matching problems have wide applicability.  The PI has identified some important problems in this area:_x000D_
matching with dynamic settings, fairness guarantees, price of fairness etc._x000D_
_x000D_
The proposed research on online settings and existence of EF1 (envyfree upto one item) in these settings seems promising. The PI is already working with two undergraduate students on these problems._x000D_
_x000D_
The PI is well-qualified to conduct the proposed activity._x000D_
There are adequate resources available to the PI to carry out the proposed activities_x000D_
_x000D_
Weaknesses:_x000D_
_x000D_
There is no clear statement of the new insights that will help the PI solve the problems._x000D_
Consider research challenge 1: Devise approximate mechanisms that compute near-optimal allocations under truthfulness constraints while scaling well with the number of agents and alternatives.  The proposal mentions that efficient solutions can be obtained through linear programming. Presumably, the goal is to find a mechanism that is truthful. There is no mention of preliminary work in that direction. Moreover, the notion of "scaling well" is not defined in the proposal._x000D_
_x000D_
In the context of the five review elements, please _x000D_
evaluate the strengths and weaknesses of the proposal with respect to broader impacts._x000D_
_x000D_
Strengths:_x000D_
_x000D_
The PI has identifed a domain (course registration at RIT) where he can apply his algorithms._x000D_
_x000D_
Weaknesses:_x000D_
Even though there is mention of many fields such as robotics and planning, it is not clear if the proposed research will have significant impact in these areas._x000D_
_x000D_
_x000D_
Please evaluate the strengths and _x000D_
weaknesses of the proposal with respect to any additional solicitation-specific review criteria, if _x000D_
applicable_x000D_
_x000D_
_x000D_
_x000D_
Summary Statement_x000D_
_x000D_
The project advances the state of the art but does not propose potentially transformative concepts. This explains the overall rating of this proposal as "Good"._x000D_
_x000D_
</t>
  </si>
  <si>
    <t>One of the most fundamental problems at the intersection of computer science, artificial intelligence, and economics is allocating a set of indivisible resources to self-interested agents. Numerous practical applications prohibit the use of monetary transfers to incentivize truthfulness or compensate loss: allocating courses to students, shifts to nurses, equipment to researchers, and organ exchange are a few of the myriad examples, which are generally known as matching problems._x000D_
_x000D_
While Artificial Intelligence (AI) researchers and economists have studied this domain in the past few years, the interaction between the core AI paradigms and the desirable economic and societal properties has been surprisingly limited, particularly in dynamic and uncertain settings. The overarching theme of this proposal is that the advent of online platforms gives rise to novel algorithmic and computational challenges in designing efficient, truthful, and fair allocations, which require subtle practical, applicable, and scalable mechanisms. Findings of this research will lead to new and improved allocation models and further span theoretical, empirical, and algorithmic aspects of sequential matching under uncertainty._x000D_
_x000D_
Specifically, the proposed research aims to study two interconnected problems: (i) sequential matching under uncertainty, by synthesizing models studied in AI with matching theory to investigate, analyze, and create new mechanisms that discourage strategic manipulation in environments where preferences are dynamically changing, e.g. nurse scheduling; (ii) online matching mechanisms, by employing insights from algorithm design and AI to study fairness and efficiency of matching decisions, in order to design algorithms for sequential settings, when the availability of items is unknown, e.g. food bank organizations.This proposal tackles a set of fundamental problems from different subfields of AI while enriching the algorithmic and computational understanding of matching and resource allocation in practical settings. The goal is to answer questions such as the following:_x000D_
_x000D_
- What are the efficiency guarantees of truthful mechanisms in dynamic settings?_x000D_
- Are there alternative truthful mechanisms (from the set of possible mechanisms) that compute near-optimal allocations while scaling well with the size of the problem?_x000D_
- Are there deterministic or randomized mechanisms with desirable fairness guarantees, such as envyfreeness up to one item, when indivisible alternatives arrive over time?_x000D_
- What is the price of fairness (efficiency loss) of matching mechanisms in online settings? _x000D_
_x000D_
Taking a broader point of view, this proposal promotes the interwoven connection between AI and economics for socially desirable decisions by spanning a diverse collection of AI techniques and providing deeper insights of economic theory and its applications to other areas, such as robotics and planning.This proposal promises an elaborate education, dissemination, and outreach plan, which consists of interconnected components. First, a new matching framework, which enhances the assignment process for various domains such as course registration and online systems for task allocation, and provides new insights about dynamic environments to the research community. The proposal includes a plan for deployment and testing of new matching models for course registration at the institutional level at RIT. Second, educational impact by creative curriculum development and introducing novel pedagogical techniques, which improves STEM education, and in a broader sense, encourages underrepresented groups to pursue AI-related fields.</t>
  </si>
  <si>
    <t>1755921</t>
  </si>
  <si>
    <t>Forbes</t>
  </si>
  <si>
    <t xml:space="preserve"> Panel Summary       
 Description:  The PI proposes to push the theory of linear-algebraic pseudo randomness.  The PI will consider new constructions and new applications of combinatorial objects that are motivated by linear algebra.     The PI will also study deterministic algorithms for factoring polynomials._x000D_
_x000D_
Intellectual Merit: The PI has presented an interesting direction with a rich set of questions, and compelling plan for making progress.   The PI has a good track record in the area._x000D_
Strengths_x000D_
  +  compelling area and good set of questions_x000D_
  + Good track record_x000D_
Weaknesses_x000D_
_x000D_
Broader Impact: PI will develop a new course on algebraic pseudorandomness, organize workshops and train graduate students._x000D_
Strengths_x000D_
  +  Has already organized a workshop in the area with 70 participants and a boot camp._x000D_
  +  Course in an emerging topic that has never been previously taught._x000D_
Weaknesses_x000D_
_x000D_
Solicitation-specific criteria:  The PI outlines research in an emerging area that will put him at the center of action._x000D_
_x000D_
Data Management Plan: adequate_x000D_
_x000D_
_x000D_
_x000D_
Justification for Panel Rating:  The proposal outlines a compelling area and the PI has a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</si>
  <si>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suggests a very detailed plan on pushing the field of linear algebraic pseudorandom objects.  This is an emerging direction that is promising. The plan is quite innovative, focusing on such objects as subspace evasive sets, rank extractors and dimension expanders.   The PI proposes to find new constructions for these objects as well as to develop applications that are inspired by the analogous combinatorial objects.  The PI also proposes to study deterministic algorithms for the least non-residue problem which would lead to deterministic algorithms for factoring univariate polynomials.  The PI has given experimental evidence for the ability to make progress._x000D_
The PI has made nice progress in these directions and has a good track record._x000D_
_x000D_
In the context of the five review elements, please _x000D_
evaluate the strengths and weaknesses of the proposal with respect to broader impacts._x000D_
_x000D_
The PI will design a new course on algebraic complexity theory that will be very important for student training.  The PI will continue to organize workshops, and has previously co-organized a very involved workshop._x000D_
_x000D_
_x000D_
Please evaluate the strengths and _x000D_
weaknesses of the proposal with respect to any additional solicitation-specific review criteria, if _x000D_
applicable_x000D_
_x000D_
_x000D_
_x000D_
Summary Statement_x000D_
_x000D_
Very well thought out research plan.   Good Broader impacts._x000D_
_x000D_
</t>
  </si>
  <si>
    <t xml:space="preserve">In the context of the five review elements, please _x000D_
evaluate the strengths and weaknesses of the proposal with respect to intellectual merit._x000D_
_x000D_
The proposal aims to significantly extend the emerging theory of linear-algebraic pseudo randomness, with the goal of explicitly constructing linear-algebraic pseudorandom objects achieving optimal parameters. _x000D_
_x000D_
The first major goal of the proposal is  to obtain optimal constructions for objects such as rank extractors, dimension expanders and subspace evasive sets. PI provides many exciting ideas connecting min-entrpy extractors to rank extractors, use of Ramsey graph construction to obtain better subspace evasive sets etc._x000D_
_x000D_
The second major goal of the proposal is to study factorization of polynomials and developing unconditionally deterministic efficient algorithms for it. As a step towards that, PI proposes to develop unconditional deterministic algorithm for finding non-residues in finite fields and give a concrete approach based on polynomial method._x000D_
_x000D_
Summary of strength and weaknesses: It is an extremely well-written proposal on a very important topic. Questions and approaches are very well laid out and the proposal could lead to significant progress in out understanding of linear algebraic pseudorandomness._x000D_
_x000D_
In the context of the five review elements, please _x000D_
evaluate the strengths and weaknesses of the proposal with respect to broader impacts._x000D_
_x000D_
Broader impact section is adequate. The PI will develop new course, organize workshop on relevant topic and train graduate students._x000D_
_x000D_
Please evaluate the strengths and _x000D_
weaknesses of the proposal with respect to any additional solicitation-specific review criteria, if _x000D_
applicable_x000D_
_x000D_
_x000D_
_x000D_
Summary Statement_x000D_
_x000D_
Excellent proposal--must be funded._x000D_
_x000D_
</t>
  </si>
  <si>
    <t xml:space="preserve">In the context of the five review elements, please _x000D_
evaluate the strengths and weaknesses of the proposal with respect to intellectual merit._x000D_
_x000D_
The PI proposes to develop the emerging field of linear-algebraic pseudorandomness.  The combinatorial theory of pseudorandomness is fairly well developed, and there are linear-algebraic analogues of key objects like extractors and expanders.  The PI proposes to improve constructions of various key objects, including rank extractors, subspace evasive sets, and dimension expanders.   The PI has done some nice related work, and has a good track record._x000D_
_x000D_
The PI also proposes to improve the bound on the size of the least quadratic nonresidue, which would have implications for derandomizing certain algorithms.  The PI suggests an interesting approach via the polynomial method, but given that number theorists haven't improved the bound in a long time, I'm not that optimistic._x000D_
_x000D_
In the context of the five review elements, please _x000D_
evaluate the strengths and weaknesses of the proposal with respect to broader impacts._x000D_
_x000D_
The PI already co-organized the 4th Workshop on Algebraic Complexity Theory (WACT), and plans to co-organize the next one.  He also will train students and design a new course._x000D_
_x000D_
Please evaluate the strengths and _x000D_
weaknesses of the proposal with respect to any additional solicitation-specific review criteria, if _x000D_
applicable_x000D_
_x000D_
_x000D_
_x000D_
Summary Statement_x000D_
_x000D_
A strong proposal about the emerging area of linear-algebraic pseudorandomness by a well-qualified PI._x000D_
_x000D_
</t>
  </si>
  <si>
    <t>The use of randomness is pervasive in computing, from its usage in cryptography to hide secrets to how it can be leveraged in the design of efficient algorithms, and it is a fundamental question to  understand how randomness relates to other computational resources such as time or memory. This question naturally arises for computation of a linear-algebraic nature. This type of computation is surprisingly pervasive, often arising where linear-algebra seems at first not relevant. Further, in this setting randomized algorithms are very natural but efficient deterministic algorithms are often scarce. Transforming such a randomized algorithm into a deterministic one can be done through explicit construction of pseudorandom objects. This project explores the theory of such linear-algebraic pseudorandom objects, and develops a connection with the least non-residue problem from number theory.Understanding the relationships between different computational resources, such as time, space, and randomness, is the fundamental goal in theoretical computer science, as exemplified by the P versus NP question. A long line of research has shown that the existence of computationally intractable problems can be used to efficiently derandomize any randomized algorithm. While such intractability is a plausible assumption, these techniques have led to only a few instances where randomized algorithms can be unconditionally derandomized._x000D_
_x000D_
This proposal identities a subclass of computation, linear-algebraic computation, that has received notable recent derandomizations. It proposes to bring these results to their logical fruition by constructing in complete optimality various notions of linear-algebraic pseudorandom objects. These objects have been directly be used to derandomize algorithms, construct more efficient schemes for error-resilient communication, and are related to recent breakthroughs in more combinatorially-oriented pseudorandom regimes. Finally, these objects have a surprising connection to the challenging least non-residue problem from number theory, which if resolved would derandomize the (non-linear) algebraic problem of factoring polynomials.One cannot overstate the importance of results dictating the limits of efficient computation. This proposed project studies these limits by studying the (non-trivially) equivalent question of how to efficiently derandomize algorithms. The primary setting of our investigation is that of linear-algebraic computation, which lies at the intersection of mathematics and computer science, increasingly attracting interdisciplinary attention due to the mathematical richness of the questions about computation. The proposal also identifies connections with boolean computation, highlighting the similarities between these two regimes. The PI is committed to developing the connections between linear-algebraic computation and mathematics. They will promote these connections through public presentations, training of students, and organization of workshops._x000D_
_x000D_
This project will support the PI in the training of his graduate students. The PI, an experts in linear-algebraic computation, has been part of the emerging theory of linear-algebraic pseudorandomness that has occurred in the past decade. The PI is eager to train students, including underrepresented minorities and women, in this area. The PI will also develop and teach a course at University of Illinois on algebraic pseudorandomness, whose course materials will be made publicly available. Finally, the PI recently successfully organized a workshop in algebraic complexity theory, and is planning to help organize the next iteration.</t>
  </si>
  <si>
    <t>1755950</t>
  </si>
  <si>
    <t>Escobedo</t>
  </si>
  <si>
    <t xml:space="preserve"> Panel Summary       
 Description: _x000D_
_x000D_
The proposal shows that current rank-aggregation functions do not properly handle incomplete rankings because the aggregation should be agnostic to which items are ranked.  This proposal has two thrusts.  The first is to identify a list of possible criteria to achieve desiderata for fair ranking aggregation.  The second is to study the computational complexity of (approximately) achieving the criteria._x000D_
_x000D_
 _x000D_
Intellectual Merit: _x000D_
_x000D_
Strengths_x000D_
  + The problems are well-scoped within each of these areas.  The concrete paths forward are proposed._x000D_
 + PI has some prior work in the area_x000D_
_x000D_
Weaknesses_x000D_
  - The problem is already computationally hard in the full ranking case, so this seems like a difficult problem.  Very unclear that the paths forward suggested will be sufficient to succeed. _x000D_
  - The proposal is unclear what the axioms for approximation scheme can or should be.   _x000D_
 -  Many ideas are related to game-theoretic concepts such as strategy-proofness, but this is not  mentioned in the proposal.  This is especially the case when discussing the axioms that approximations should satisfy.  There is a body of computer science literature on these topics which are not mentioned in the proposal._x000D_
  - Some members of the panel thought that the proposals description of PIs prior work did not look sufficient to show that tackling these hard problems would have impact. _x000D_
_x000D_
Broader Impact: _x000D_
_x000D_
Strengths_x000D_
  + Expanding the research in social choice theory to handle incomplete and incomparability in preference relations has the opportunity for impact in a number of data driven decision making applications. _x000D_
  +  The PI has also outlined a number of avenues to include minority student in the proposal._x000D_
  + The PI will mentor two PhD students._x000D_
_x000D_
_x000D_
_x000D_
Solicitation-specific criteria: _x000D_
+ The proposal mentions how this will be connected to the PIs future CAREER  proposal submission on "detection and elimination of algorithmic biases in automated decision-making and crowdsourcing" . However, the tightness of this connection is not illuminated._x000D_
_x000D_
_x000D_
Data Management Plan: adequate._x000D_
_x000D_
Suggestions to PI: Better relate to the algorithmic game theory literature on computational social choice.  This is especially needed in the approximation section.  What axioms should the approximation satisfy?_x000D_
_x000D_
Any partial work you could include, would be very helpful.  Better selling/integrating your current (published/submitted) work would also be nice._x000D_
_x000D_
If you could strengthen connection to future work, that would help as well.  _x000D_
_x000D_
_x000D_
_x000D_
Justification for Panel Rating:  Proposal was well scoped and well written.  However, did not sufficiently relate to current literature.  Unclear if the paths forward will be sufficient.  _x000D_
_x000D_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</si>
  <si>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PI has developed new notions of distance between ranking vectors and has some past work on defining a set of axioms for deriving consensus rankings._x000D_
_x000D_
The PI has strong background in ranking aggregation to work on research objective 1 and also in approximation algorithms to accomplish research objective 2._x000D_
_x000D_
_x000D_
Weaknesses: In research objective 1, it is not clear how different the proposed research will be from Kemeny's aggregation scheme.  The idea is to extend it for incomplete data. Extensions for incomplete data in schemes close to Kemeny's aggregation scheme may be computationally hard._x000D_
_x000D_
In research objective 2, the goal is to develop computationally expedient properties.  It is not clear what the completed work is and how it relates to the proposed work.  For the task of Research Objective 2, the PI does not list any completed work._x000D_
_x000D_
Many ideas are related to game-theoretic concepts such as strategy-proofness. These are not mentioned in the proposal._x000D_
_x000D_
In the context of the five review elements, please _x000D_
evaluate the strengths and weaknesses of the proposal with respect to broader impacts._x000D_
_x000D_
Strengths:_x000D_
Rank aggregation has applications in many areas.  The PI plans to work with a female student._x000D_
_x000D_
_x000D_
_x000D_
Please evaluate the strengths and _x000D_
weaknesses of the proposal with respect to any additional solicitation-specific review criteria, if _x000D_
applicable_x000D_
_x000D_
Not applicable._x000D_
_x000D_
Summary Statement_x000D_
_x000D_
The proposal requires more preliminary work for research objective 2._x000D_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</si>
  <si>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the fundamental problem of extending existing social choice research into the domain of preferences that are incomplete or contain incompatibilities.  The PI has identified several key issues with the existing literature and a comprehensive set of research questions to address these.  The ideas are novel though I was curious to not see any references to the large literature in Computational Social Choice especially the work of people like Aziz, Prococcia, Regenwetter, Rossi, Walsh and anything related to PrefLib which contains large amounts of data of the type needed to undertake the research stated._x000D_
_x000D_
2. To what extent do the proposed activities suggest and explore creative, original, or potentially transformative concepts?_x000D_
_x000D_
The research questions identified build on a fundamental issue with existing social choice research in interesting and meaningful ways.  The questions are well aligned and interesting and answering them in positive ways would expand the state of the art in the area of preference reasoning and aggregation._x000D_
_x000D_
3. Is the plan for carrying out the proposed activities well-reasoned, well-organized, and based on a sound rationale? Does the plan incorporate a mechanism to assess success?_x000D_
_x000D_
The plan is extremely well organized and there is a clear methodology for evaluating success.  The PI has outlined ambitious goals and measurements to assess the progress of the proposal._x000D_
_x000D_
4. How well qualified is the individual, team, or institution to conduct the proposed activities?_x000D_
_x000D_
The proposed questions build on the PIs work in preference aggregation and he is well situated to attack the questions outlined in the proposal._x000D_
_x000D_
5. Are there adequate resources available to the PI (either at the home institution or through collaborations) to carry out the proposed activities?_x000D_
_x000D_
There are adequate resources and collaborators to attack the proposed questions._x000D_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Expanding the research in social choice theory to handle incomplete and incomparability in preference relations has the opportunity for impact in a number of data drive decision making applications.  The PI has also outlined a number of avenues to include minority student in the proposal._x000D_
_x000D_
2. To what extent do the proposed activities suggest and explore creative, original, or potentially transformative concepts?_x000D_
_x000D_
The broader impacts are well described and are original though fairly straightforward in where they could be applied.  This is not a problem for this proposal._x000D_
_x000D_
3. Is the plan for carrying out the proposed activities well-reasoned, well-organized, and based on a sound rationale? Does the plan incorporate a mechanism to assess success?_x000D_
_x000D_
There is a clear plan to disseminate the work and recruit diverse populations to the research._x000D_
_x000D_
4. How well qualified is the individual, team, or institution to conduct the proposed activities?_x000D_
_x000D_
The PI does not have extensive experience in outreach however he does have experience in translating theoretical research into practical algorithms.  Therefore he is well positioned and qualified to undertake the broader impacts portion of the proposal._x000D_
_x000D_
5. Are there adequate resources available to the PI (either at the home institution or through collaborations) to carry out the proposed activities?_x000D_
_x000D_
The PI has identified several resources at his home institution to help with the educational outreach activities.  There is not a clear connection for translating the research into broader impacts through any particular mechanism but the resources requested are adequate._x000D_
_x000D_
_x000D_
Please evaluate the strengths and _x000D_
weaknesses of the proposal with respect to any additional solicitation-specific review criteria, if _x000D_
applicable_x000D_
_x000D_
_x000D_
_x000D_
Summary Statement_x000D_
_x000D_
A good proposal with a clear and concise plan to address fundamental gaps in the social choice literature.  The PI is well positioned to attack these problems that have broad impact within the OR/CS communities and across a number of sub disciplines.  There are nicely identified opportunities for broader impacts and resource on campus have been contacted and identified._x000D_
_x000D_
_x000D_
</t>
  </si>
  <si>
    <t xml:space="preserve">In the context of the five review elements, please _x000D_
evaluate the strengths and weaknesses of the proposal with respect to intellectual merit._x000D_
_x000D_
The author argues that current rank-aggregation functions do not properly handle incorrect ratings.  The argument is that the aggregation should be agnostic to which items are ranked.  As such, it seems like current aggregation messes up pretty badly when aggregating partial ranks.   _x000D_
_x000D_
This proposal has two thrusts.  The first is to figure out a list of possible to achieve desiderata for fair ranking aggregation. Of course, Arrow's theorem makes this difficult, but in the complete raking since, one can still do a slightly weaker version of independence of irrelevant alternatives.  _x000D_
The second is to study the computational complexity of (approximately) achieving the criterial._x000D_
_x000D_
The author has RAF technique that he believes will satisfy the first goal if proven.  For the second ranking, he argues that current techniques in use are gravely inadequate (this appears very true), and proposes three alterative approaches: 1) a greedy algorithm; 2) to extend Borda rankings to a computable version of the scaled-footrule distance 3) a R-ECC decomposition algorithm.   Another part of thrust 2 is to improve exact calculations (at least for medium sized inputs).  _x000D_
_x000D_
_x000D_
The proposed methods are creative and original (as far as I know).  They are not transformative, but are useful. _x000D_
_x000D_
The PI has limited prior work on this area.  It seems like the part of the work that is done already is noticing that some terms should be normalized.  However, the proposal does layout a clear path forward.  _x000D_
_x000D_
_x000D_
Some notes: _x000D_
_x000D_
While I mostly agree with the author's main premise, I think the proposal would be even stronger if it were more clearly argued.  WHY should we be agnostic to unranked items?  There are certainly cases when this fails, so when is that?  Also, right now there is just one little counter intuitive example.   It would be great if there were more evidence of systematic bias.  _x000D_
_x000D_
Additionally, it would have been very helpful to spell out a specific case or two where incomplete rankings are aggregated.  Currently there is a laundry list, but it would be more compelling if a stronger connection were made.  _x000D_
_x000D_
It would have been really helpful to have a more clear definition of Kemeny aggregation in the proposal itself.  (I looked it up on Wikipedia.  I should not have to).  _x000D_
_x000D_
_x000D_
In the context of the five review elements, please _x000D_
evaluate the strengths and weaknesses of the proposal with respect to broader impacts._x000D_
_x000D_
This proposal fits in the "algorithmic fairness" literature.  We must have a good theoretical understanding of what are algorithms are doing to insure fairness.  _x000D_
The PI will also mentor two PhD students, and involve undergraduates from diverse backgrounds (this is a good project to on-board people)._x000D_
_x000D_
_x000D_
Please evaluate the strengths and _x000D_
weaknesses of the proposal with respect to any additional solicitation-specific review criteria, if _x000D_
applicable_x000D_
_x000D_
It is not very clear how completing this research would lead to a stronger Career proposal on "detection and elimination of algorithmic biases in automated decision-making and crowdsourcing" .  It is great that the author has a plan of the future, but it should be better connected to the current proposal._x000D_
_x000D_
Summary Statement_x000D_
_x000D_
The proposal presents a well-thought out and scoped project.  The author does not have a great deal of experience in this area (I guess that is, in part, the point of CRII).    A few items would make the broader impacts and impact on the PI career more clear._x000D_
_x000D_
</t>
  </si>
  <si>
    <t>The objective of this CRII proposal is to establish firm theoretical and algorithmic foundations that enable the impartial aggregation of incomplete rankings, which constitute a general data format that is prevalent across a wide array of modern applications. Most prominently, these data are routinely collected--both explicitly and implicitly--to combine, classify, or predict user preferences for the common purpose of automating decision-making tasks. Within these human-centered contexts, data incompleteness generally arises from users' limitations to evaluate only a few of the numerous alternatives involved; this means that no inferences should generally be made from an individual's preference data regarding the alternatives he/she does not evaluate. Hence, it is disquieting to learn that the ranking aggregation algorithms associated with the aforementioned tasks for processing preference data inadvertently introduce assumptions regarding users' unspecified preferences that are invalid for most situations. This inappropriate usage is highly problematic in that it creates algorithmic biases that may lead to arbitrary and/or unfair real-world outcomes. Thus, due to the growing emphasis on algorithmic neutrality and transparency, the development of more rigorous frameworks for dealing with incomplete ranking data impartially is both essential and timely. More generally, due to the inherent subjectivity of preference data, extra attention must be paid to curtailing the deleterious effects of human biases, especially when there is a finite set of benefits that is to be allocated commensurate with the resulting aggregate ranking. Hence, implementing efficient frameworks that are less prone to individual manipulation and outlier opinions and whose underlying assumptions can be directly tied to a set of formal properties is essential. Moreover, their associated ranking measures should properly account for the presence of ties and incomplete evaluations, which are the rule rather than the exception in most cases, and for contemporary situations where the evaluation of a large object set is performed through the allocation of smaller subsets of differing sizes. Failing to do so would implicitly force arbitrary and/or careless choices and thereby introduce noise and bias. Thus, robustness, flexibility, and computational viability are three vital ingredients for aggregating preference data impartially in modern contexts.The fundamental challenge addressed in this proposal is the design of a robust aggregation framework that supports an impartial treatment of incomplete rankings for practical applications. To this end, the research plan consists of a set of theoretical and algorithmic contributions that cumulatively describe a novel impartial treatment of preference data. Expressly, establishing the targeted design requires original theoretical advances:  defining a set of social-choice related axioms and properties that any impartial incomplete-ranking measure should satisfy; constructing robust measures to fulfill them from a precise mathematical standpoint; and exploring the validity and pragmatic implications of these measures via formal statistical methods. Moreover, owing to the inability/inadequacy of extant ranking aggregation algorithms to handle incomplete rankings efficiently/impartially, enabling the practical implementation of the resultant measures requires major algorithmic breakthroughs. These include the development of new exact implicit-enumeration techniques and approximation algorithms with provable guarantees.Due to the rising usage growth of automated decision-making technologies, preference ranking aggregation algorithms have quickly come to permeate numerous spheres of daily life. In fact, their byproducts play direct roles in determining business reputations, credit scores, hiring decisions, and other high-stake matters. Thus, the outputs of the proposed line of research and their subsequent progression into effective tools for detecting and eliminating algorithmic biases--which the academic community fervently demands--would have widespread impacts on aggregation. What is more, due to the pivotal roles of robust ranking aggregation frameworks in other fields including biostatistics and ethnography, the successful execution of this proposal could bring a series of multidisciplinary advances. Educational benefits include the training of two PhD students, the creation of cross-disciplinary course modules, and the dissemination of results via presentations at leading conferences and publications in high-quality journals.</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</si>
  <si>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AF:Bayesian Framework for Efficient Surrogate Modeling and Learning of Probabilistic Functions Based on Large Scale Monte Carlo Simulations_x000D_
_x000D_
L: 1755954 Hajimirza, Shima Texas Engineering Exp Sta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</si>
  <si>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1755955</t>
  </si>
  <si>
    <t xml:space="preserve"> Panel Summary       
 Description: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Intellectual Merit:_x000D_
_x000D_
Strengths_x000D_
+ Studying deferred-acceptance auctions is a good thing to do: they have nice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 The proposal brings techniques in mechanism design and approximation algorithms together to tackle the challenges. The proposal is full of ideas, for example, it will extend DA to combinatorial auction settings, to allow randomization, and to multi-parameter domains._x000D_
_x000D_
Weaknesses_x000D_
- The proposal could be clearer in terms of attack plan._x000D_
- The questions being asked are natural next steps, and therefore not incredibly novel._x000D_
_x000D_
Broader Impact:_x000D_
_x000D_
Strengths_x000D_
+ The design of practical auctions which are easier to get people to use is extremely important; DA auctions have been used in practice, for example the gigantic FCC incentive auction. The developed mechanisms may have practical implications on real-world large-scale auctions._x000D_
+ This will likely be of interest to Economists, and foster further collaboration between Economists and Computer Scientists._x000D_
  _x000D_
Weaknesses_x000D_
- No specific avenues are identified in translating this work to form  broader impact (e.g., forming software, implementing real-world auctions)._x000D_
- The PI did not describe enough broader impact, education, students advising, etc._x000D_
_x000D_
Solicitation-specific criteria: The panel agrees that funding this research will help the PI to gain competitiveness in developing his career, and to form an excellent research program._x000D_
_x000D_
Data Management Plan: adequate_x000D_
_x000D_
What is bold, exciting, high risk/reward, or potentially transformative? Deferred-acceptance auctions have great potential to be used in practice, and is one of the most important exports at the intersection of Economics and Computation. Thus forming theoretical foundations for these auctions and forming new auctions of this type is very exciting._x000D_
_x000D_
Suggestions to PI: Greatly expand the broader impacts section of this proposal. For example, describe specifics of the educational plan, like advising students or developing courses._x000D_
_x000D_
Justification for Panel Rating: The panel agreed this is an extremely good proposal, by a very qualified PI, asking concrete, useful, and important questions._x000D_
_x000D_
Panel Rating:_x000D_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</si>
  <si>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Strengths:_x000D_
_x000D_
+ Studying deferred-acceptance auctions is a good thing to do: they have nice important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trend._x000D_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_x000D_
Weaknesses:_x000D_
_x000D_
- Section 3.2 (Bayesian setting) is not as well thought-out as the other research directions. In a Bayesian setting, it is not even clear why DA should be used instead of posted pricing._x000D_
_x000D_
_x000D_
In the context of the five review elements, please _x000D_
evaluate the strengths and weaknesses of the proposal with respect to broader impacts._x000D_
_x000D_
Strengths:_x000D_
_x000D_
+ The design of practical auctions which are easier to get people to use is extremely important; DA auctions have been used in practice, for example the gigantic incentive auction._x000D_
_x000D_
+ This will likely be of interest to Economists._x000D_
_x000D_
Please evaluate the strengths and _x000D_
weaknesses of the proposal with respect to any additional solicitation-specific review criteria, if _x000D_
applicable_x000D_
_x000D_
_x000D_
_x000D_
Summary Statement_x000D_
_x000D_
Very nice concrete research directions from a well-qualified PI, likely to provide both fundamental insights and practical impact, and lead to a further research program._x000D_
_x000D_
_x000D_
</t>
  </si>
  <si>
    <t xml:space="preserve">In the context of the five review elements, please _x000D_
evaluate the strengths and weaknesses of the proposal with respect to intellectual merit._x000D_
_x000D_
This is a nice CRII proposal focusing on designing more practical auctions by extending the well known deferred acceptance (DA) framework for simple settings.  It brings techniques in mechanism design and approximation algorithms together to tackle the challenges. The proposal is full of ideas, for example, it will extend DA to combinatorial auction settings, to allow randomization and to multi-parameter domains. I think the PI has an interesting agenda to pursue._x000D_
_x000D_
In the context of the five review elements, please _x000D_
evaluate the strengths and weaknesses of the proposal with respect to broader impacts._x000D_
_x000D_
+The developed mechanisms may have practical implications on real-world large-scale auctions. _x000D_
+Further foster collaboration of computer scientists and economists. _x000D_
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</si>
  <si>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outlines a number of interesting questions surrounding the task of generalizing the deferred acceptance auction mechanism to a number of settings including obviously strategyproof, settings without money, Bayesian and randomized settings.  The questions, if answered would advance the state of the art in the area of mechanism design and auction design._x000D_
_x000D_
2. To what extent do the proposed activities suggest and explore creative, original, or potentially transformative concepts?_x000D_
_x000D_
Advances in DA auctions, which is a recent advance, may have important impacts in the areas that the PI has identified.  The proposal itself does a good job of drawing out application areas for these mechanisms._x000D_
_x000D_
3. Is the plan for carrying out the proposed activities well-reasoned, well-organized, and based on a sound rationale? Does the plan incorporate a mechanism to assess success?_x000D_
_x000D_
The plan is not clear in terms of time-lines or attack plan but the questions themselves are somewhat orthogonal to each other.  The questions are coherent in terms of being related to a single topic but it is not clear how they interconnect or how results in one would or could be leveraged to attack others._x000D_
_x000D_
4. How well qualified is the individual, team, or institution to conduct the proposed activities?_x000D_
_x000D_
The PI is very well qualified for the proposal and has a track record of obtaining good results and publishing in top quality venues._x000D_
_x000D_
5. Are there adequate resources available to the PI (either at the home institution or through collaborations) to carry out the proposed activities?_x000D_
_x000D_
There are ample resources and the PI has a strong network of collaborators to attack the technical questions addressed in the proposal._x000D_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general space of auction and mechanism design has clear and broad impact across computer science, economics, and various real world applications.  Advancements in these areas could advance a number of beneficial societal outcomes.  However, outside of publishing research results, there is no mechanism described in the current proposal to translate the theoretical results to broad impact._x000D_
_x000D_
2. To what extent do the proposed activities suggest and explore creative, original, or potentially transformative concepts?_x000D_
_x000D_
The broader impacts of the research could be realized through a number of avenues including application to specific problems like spectrum auctions or ad auctions on various platforms.  The specific questions in the proposal would help with these broad impacts if addressed._x000D_
_x000D_
3. Is the plan for carrying out the proposed activities well-reasoned, well-organized, and based on a sound rationale? Does the plan incorporate a mechanism to assess success?_x000D_
_x000D_
While the key questions have the potential for broad impact, no specific mechanisms or avenues are addressed in the current proposal w.r.t. broader impacts.  Additionally almost no mention of teaching or mentoring is made in this proposal._x000D_
_x000D_
4. How well qualified is the individual, team, or institution to conduct the proposed activities?_x000D_
_x000D_
No specific avenues were identified.  However, the PI has a strong track record of success in research and publishing papers on this topic._x000D_
_x000D_
5. Are there adequate resources available to the PI (either at the home institution or through collaborations) to carry out the proposed activities?_x000D_
_x000D_
Yes there are adequate resources for the proposal, however, no specific broader impacts are addressed / funding requested._x000D_
_x000D_
_x000D_
Please evaluate the strengths and _x000D_
weaknesses of the proposal with respect to any additional solicitation-specific review criteria, if _x000D_
applicable_x000D_
_x000D_
_x000D_
_x000D_
Summary Statement_x000D_
_x000D_
An interesting proposal with a good research question centered on extending the deferred acceptance auction framework to a number of important and interesting directions.  The proposal lacks clear time-lines for the particular research thrusts and also does not include clear mechanisms for translating the theoretical research into broader impacts through the proposal activities._x000D_
_x000D_
_x000D_
</t>
  </si>
  <si>
    <t>As the world becomes increasingly interconnected, an unprecedented number of auctions needs to take place to ensure the efficient utilization of its scarce resources. On a daily basis, human and software agents compete for an extremely diverse set of resources, ranging from the advertising space on a website and the goods sold on Ebay, to the electrical power supply that supports big cities and the landing slots of the world's busiest airports. Were it not for the auctions that regulate these resource allocation processes, massive amounts of social utility would be wasted; hence, it is imperative that these auctions are designed to the highest standard. Some of the optimization problems involved in designing such resource allocation mechanisms can be highly demanding from a computational standpoint. In reality, the design process is even more challenging, as the agents competing for these resources may be strategic and have their own interests at heart. _x000D_
_x000D_
This proposal approaches such resource allocation problems from the perspective of the designer who chooses the rules of the auction aiming to maximize her own objectives, such as efficiency, revenue, or fairness, despite the strategic behavior of the participants. The long literature on game theory and mechanism design has produced several celebrated auctions that maximize these objectives while, at the same time, providing attractive theoretical guarantees regarding the incentives of the participating agents, but many of these auctions are rarely used in practice. Two important drawbacks that render these auctions impractical are that: i) it may be non-trivial for the bidders to verify these auctions' incentive guarantees, and ii) they often require that the bidders reveal too much of their private data._x000D_
_x000D_
The long-term goal of this project is to develop a deeper understanding of the performance guarantees that an auction designer can achieve using practical auctions that avoid these drawbacks. Recent work by economists has proposed refined incentive properties that non-experts can verify, as well as a framework for designing auctions that satisfy these incentive properties. The proposed research problems aim to evaluate the performance of these auctions from the standpoint of approximation algorithms, and to extend the auction design framework to capture a much wider family of problem instances.The proposed research combines techniques from approximation algorithms and mechanism design to lay the foundations for the design of practical auctions that approximate well-studied economic objectives. The main thrust of this project aims to generalize the deferred-acceptance framework, proposed by economists, thus significantly expanding its applicability. These generalizations will then be used to design novel auctions for canonical resource allocation problems.This project will develop a deeper understanding of the power and limitations of auctions that guarantee highly desired incentive properties. Furthermore, it will provide a set of algorithmic tools that an auction designer can use in order to produce high-performance auctions that provide a simple interface and clear incentives to the participating bidders. This work combines ideas recently proposed within the economics literature with the computer science perspective of approximation algorithms, and it is thus likely to generate collaborations at the interface of computer science and economics.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</si>
  <si>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CRII:AF: Stochastic Programming Decomposition Model and Algorithm for Discrete-event Dynamic Systems_x000D_
_x000D_
L: 1755978 Gangammanavar, Harsha Southern Methodist Univ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</si>
  <si>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1756014</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</si>
  <si>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</si>
  <si>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</si>
  <si>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</si>
  <si>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</si>
  <si>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NSF 16-615</t>
  </si>
  <si>
    <t>DECL</t>
  </si>
  <si>
    <t>FY17TRIPOD</t>
  </si>
  <si>
    <t>047Z 062Z</t>
  </si>
  <si>
    <t>Michael</t>
  </si>
  <si>
    <t>CUNY City College</t>
  </si>
  <si>
    <t>Decline, DDConcurred</t>
  </si>
  <si>
    <t>Dynamics,stability,complexity,and statistical inference of data-defined networks with emphasis on biology</t>
  </si>
  <si>
    <t>mshub@ccny.cuny.edu</t>
  </si>
  <si>
    <t>AWD</t>
  </si>
  <si>
    <t>Sham</t>
  </si>
  <si>
    <t>E/V,V,V</t>
  </si>
  <si>
    <t>Proposal has been awarded</t>
  </si>
  <si>
    <t>TRIPODS: Algorithms for Data Science: Complexity, Scalability, and Robustness.</t>
  </si>
  <si>
    <t>sham@cs.washington.edu</t>
  </si>
  <si>
    <t>MD</t>
  </si>
  <si>
    <t>L</t>
  </si>
  <si>
    <t>Ciprian</t>
  </si>
  <si>
    <t>Johns Hopkins University</t>
  </si>
  <si>
    <t>G,G,F</t>
  </si>
  <si>
    <t>Methodological approaches for very large -omics, wearable computing and neuroimaging data</t>
  </si>
  <si>
    <t>ccraini1@jhu.edu</t>
  </si>
  <si>
    <t>047Z 062Z 9102 9150</t>
  </si>
  <si>
    <t>MT</t>
  </si>
  <si>
    <t>N</t>
  </si>
  <si>
    <t>1740596</t>
  </si>
  <si>
    <t>Smirnova</t>
  </si>
  <si>
    <t>Ekaterina</t>
  </si>
  <si>
    <t>University of Montana</t>
  </si>
  <si>
    <t>ekaterina.smirnova@mso.umt.edu</t>
  </si>
  <si>
    <t>047Z 062Z 9150</t>
  </si>
  <si>
    <t>1740613</t>
  </si>
  <si>
    <t>Jafari</t>
  </si>
  <si>
    <t>Farhad</t>
  </si>
  <si>
    <t>University of Wyoming</t>
  </si>
  <si>
    <t>fjafari@uwyo.edu</t>
  </si>
  <si>
    <t>DC</t>
  </si>
  <si>
    <t>Kimberly</t>
  </si>
  <si>
    <t>Georgetown University</t>
  </si>
  <si>
    <t>G,F,F</t>
  </si>
  <si>
    <t>Collaborative Research: BiGeorge Data Science Institute (BiG DATA: Georgetown-George Washington Data Science Institute)</t>
  </si>
  <si>
    <t>kfs7@georgetown.edu</t>
  </si>
  <si>
    <t>047Z 062Z 9102</t>
  </si>
  <si>
    <t>1740516</t>
  </si>
  <si>
    <t>Monteleoni</t>
  </si>
  <si>
    <t>Claire</t>
  </si>
  <si>
    <t>George Washington Univ</t>
  </si>
  <si>
    <t>cmontel@gwu.edu</t>
  </si>
  <si>
    <t>Jeff</t>
  </si>
  <si>
    <t>Washington University</t>
  </si>
  <si>
    <t>E,V/G,F</t>
  </si>
  <si>
    <t>Collaborative Research: Theoretical and Human-centered Data Science</t>
  </si>
  <si>
    <t>jgill@american.edu</t>
  </si>
  <si>
    <t>CT</t>
  </si>
  <si>
    <t>Nalini</t>
  </si>
  <si>
    <t>Univ of Connecticut</t>
  </si>
  <si>
    <t>G,G,G/F</t>
  </si>
  <si>
    <t>Collaborative Research: TRIPODS: NE Consortium for the Advancement of Data Science (NECADS)-Foundations of High Performance Techniques for High-Dimensional &amp; High-Frequency Data</t>
  </si>
  <si>
    <t>nalini.ravishanker@uconn.edu</t>
  </si>
  <si>
    <t>1740565</t>
  </si>
  <si>
    <t>Laubenbacher</t>
  </si>
  <si>
    <t>Reinhard</t>
  </si>
  <si>
    <t>U of Conn Health Center</t>
  </si>
  <si>
    <t>TRIPODS: New England Consortium for the Advancement of Data Science (NECADS): Foundations of High Performance Techniques for High-Dimensional and High-Frequency Data</t>
  </si>
  <si>
    <t>laubenbacher@uchc.edu</t>
  </si>
  <si>
    <t>1740800</t>
  </si>
  <si>
    <t>Lavine</t>
  </si>
  <si>
    <t>U of Massachusetts Amherst</t>
  </si>
  <si>
    <t>lavine@math.umass.edu</t>
  </si>
  <si>
    <t>Gregory</t>
  </si>
  <si>
    <t>Stanford University</t>
  </si>
  <si>
    <t>V,V,G/F</t>
  </si>
  <si>
    <t>Adaptable, Accountable and Robust Data Science</t>
  </si>
  <si>
    <t>gvaliant@cs.stanford.edu</t>
  </si>
  <si>
    <t>IN</t>
  </si>
  <si>
    <t>Wojciech</t>
  </si>
  <si>
    <t>Purdue University</t>
  </si>
  <si>
    <t>V,G/F,F</t>
  </si>
  <si>
    <t>Collaborative Research:  Foundation of Data Science Through an Information-Theoretic Lens</t>
  </si>
  <si>
    <t>spa@cs.purdue.edu</t>
  </si>
  <si>
    <t>1740638</t>
  </si>
  <si>
    <t>Ipsen</t>
  </si>
  <si>
    <t>Ilse C.F.</t>
  </si>
  <si>
    <t>North Carolina State U</t>
  </si>
  <si>
    <t>Collaborative Research: Foundation of Data Science Through an Information-Theoretic Lens</t>
  </si>
  <si>
    <t>ipsen@ncsu.edu</t>
  </si>
  <si>
    <t>1740709</t>
  </si>
  <si>
    <t>Baryshnikov</t>
  </si>
  <si>
    <t>Yuliy</t>
  </si>
  <si>
    <t>ymb@uiuc.edu</t>
  </si>
  <si>
    <t>1740710</t>
  </si>
  <si>
    <t>Kondor</t>
  </si>
  <si>
    <t>Imre</t>
  </si>
  <si>
    <t>University of Chicago</t>
  </si>
  <si>
    <t>Collaborative Research:Foundation of Data Science Through an Information-Theoretic Lens</t>
  </si>
  <si>
    <t>risi@cs.uchicago.edu</t>
  </si>
  <si>
    <t>Stephen</t>
  </si>
  <si>
    <t>E,E,E</t>
  </si>
  <si>
    <t>TRIPODS: Institute for Foundations of Data Science</t>
  </si>
  <si>
    <t>swright@cs.wisc.edu</t>
  </si>
  <si>
    <t>IA</t>
  </si>
  <si>
    <t>Tianbao</t>
  </si>
  <si>
    <t>University of Iowa</t>
  </si>
  <si>
    <t>Large-scale Learning of Complex Models: Algorithms, Analysis and Application</t>
  </si>
  <si>
    <t>tianbao-yang@uiowa.edu</t>
  </si>
  <si>
    <t>Hridesh</t>
  </si>
  <si>
    <t>Iowa State University</t>
  </si>
  <si>
    <t>E/V,V/G,G</t>
  </si>
  <si>
    <t>Collaborative Research: Dependable Data Science Institute</t>
  </si>
  <si>
    <t>hridesh@iastate.edu</t>
  </si>
  <si>
    <t>1740639</t>
  </si>
  <si>
    <t>Plale</t>
  </si>
  <si>
    <t>Beth</t>
  </si>
  <si>
    <t>Indiana University</t>
  </si>
  <si>
    <t>plale@cs.indiana.edu</t>
  </si>
  <si>
    <t>Noah</t>
  </si>
  <si>
    <t>U of Rhode Island</t>
  </si>
  <si>
    <t>F,P,P</t>
  </si>
  <si>
    <t>Institute for Foundations of Data Science</t>
  </si>
  <si>
    <t>noah_daniels@uri.edu</t>
  </si>
  <si>
    <t>047Z 060Z 062Z 9150</t>
  </si>
  <si>
    <t>Jeffrey</t>
  </si>
  <si>
    <t>Brown University</t>
  </si>
  <si>
    <t>Foundations of Model Driven Discovery from Massive Data</t>
  </si>
  <si>
    <t>Jeff_Brock@brown.edu</t>
  </si>
  <si>
    <t>Alan</t>
  </si>
  <si>
    <t>Collaborative Research: Center for Scalable Data Analysis</t>
  </si>
  <si>
    <t>EDELMAN@MATH.MIT.EDU</t>
  </si>
  <si>
    <t>1740642</t>
  </si>
  <si>
    <t>Quackenbush</t>
  </si>
  <si>
    <t>John</t>
  </si>
  <si>
    <t>Dana-Farber Cancer Inst</t>
  </si>
  <si>
    <t>johnq@jimmy.harvard.edu</t>
  </si>
  <si>
    <t>1740744</t>
  </si>
  <si>
    <t>Gelman</t>
  </si>
  <si>
    <t>Andrew</t>
  </si>
  <si>
    <t>Columbia University</t>
  </si>
  <si>
    <t>gelman@stat.columbia.edu</t>
  </si>
  <si>
    <t>Piotr</t>
  </si>
  <si>
    <t>E/V,V,V/G</t>
  </si>
  <si>
    <t>TRIPODS: Institute for Foundations of Data Science (IFDS)</t>
  </si>
  <si>
    <t>indyk@mit.edu</t>
  </si>
  <si>
    <t>PA</t>
  </si>
  <si>
    <t>Brian</t>
  </si>
  <si>
    <t>Lehigh University</t>
  </si>
  <si>
    <t>G/F,G/F,F</t>
  </si>
  <si>
    <t>Institute for Interdisciplinary Data Science</t>
  </si>
  <si>
    <t>brian@cse.lehigh.edu</t>
  </si>
  <si>
    <t>Anna</t>
  </si>
  <si>
    <t>E,V/G,G</t>
  </si>
  <si>
    <t>Collaborative Research:  Mathematical and Algorithmic Structures in Science and Engineering</t>
  </si>
  <si>
    <t>annacg@umich.edu</t>
  </si>
  <si>
    <t>1740746</t>
  </si>
  <si>
    <t>Christlieb</t>
  </si>
  <si>
    <t>Michigan State University</t>
  </si>
  <si>
    <t>Collaborative Research: Mathematical and Algorithmic Structures in Science and Engineering</t>
  </si>
  <si>
    <t>christlieb@math.msu.edu</t>
  </si>
  <si>
    <t>OH</t>
  </si>
  <si>
    <t>Tamal</t>
  </si>
  <si>
    <t>Ohio State University</t>
  </si>
  <si>
    <t>TRIPODS: Topology, Geometry, and Data Analysis (TGDA@OSU):Discovering Structure, Shape, and Dynamics in Data</t>
  </si>
  <si>
    <t>Larry</t>
  </si>
  <si>
    <t>Carnegie Mellon University</t>
  </si>
  <si>
    <t>V/G,V/G,G/F</t>
  </si>
  <si>
    <t>Carnegie Mellon Institute for the Foundations of Data Science (CMU-IFDS)</t>
  </si>
  <si>
    <t>larry@stat.cmu.edu</t>
  </si>
  <si>
    <t>GA</t>
  </si>
  <si>
    <t>Xiaoming</t>
  </si>
  <si>
    <t>Georgia Tech Research Corp</t>
  </si>
  <si>
    <t>TRIPODS: Transdisciplinary Research Institute for Advancing Data Science (TRIAD)</t>
  </si>
  <si>
    <t>xiaoming@isye.gatech.edu</t>
  </si>
  <si>
    <t>Joaquin</t>
  </si>
  <si>
    <t>SUNY Col Buffalo</t>
  </si>
  <si>
    <t>G,G,P</t>
  </si>
  <si>
    <t>Collaborative Research: SUNY Data Science Institute (SUNY-DSI)</t>
  </si>
  <si>
    <t>carbonjo@buffalostate.edu</t>
  </si>
  <si>
    <t>1740731</t>
  </si>
  <si>
    <t>Sperhac</t>
  </si>
  <si>
    <t>Jeanette</t>
  </si>
  <si>
    <t>SUNY Buffalo</t>
  </si>
  <si>
    <t>jsperhac@buffalo.edu</t>
  </si>
  <si>
    <t>1740743</t>
  </si>
  <si>
    <t>Bichindaritz</t>
  </si>
  <si>
    <t>Isabelle</t>
  </si>
  <si>
    <t>SUNY Oswego</t>
  </si>
  <si>
    <t>ibichind@oswego.edu</t>
  </si>
  <si>
    <t>1740745</t>
  </si>
  <si>
    <t>Walters</t>
  </si>
  <si>
    <t>Lisa</t>
  </si>
  <si>
    <t>SUNY Fredonia</t>
  </si>
  <si>
    <t>Collaborative Research: SUNY-Data Science Institute (SUNY-DSI)</t>
  </si>
  <si>
    <t>lisa.walters@fredonia.edu</t>
  </si>
  <si>
    <t>1740774</t>
  </si>
  <si>
    <t>Dang</t>
  </si>
  <si>
    <t>Sanjeena</t>
  </si>
  <si>
    <t>SUNY Binghamton</t>
  </si>
  <si>
    <t>sdang@binghamton.edu</t>
  </si>
  <si>
    <t>George</t>
  </si>
  <si>
    <t>University of Florida</t>
  </si>
  <si>
    <t>V/G,V/G,V/G</t>
  </si>
  <si>
    <t>TRIPODS: UF Institute for Learning from Higher Structured Data</t>
  </si>
  <si>
    <t>gmichail@ufl.edu</t>
  </si>
  <si>
    <t>Sorin</t>
  </si>
  <si>
    <t>U of NC Chapel Hill</t>
  </si>
  <si>
    <t>Geometric and topological data Science Institute (GTDSI)</t>
  </si>
  <si>
    <t>mitran@unc.edu</t>
  </si>
  <si>
    <t>Katya</t>
  </si>
  <si>
    <t>V,V,V/G</t>
  </si>
  <si>
    <t>Collaborative Research:  TRIPODS Institute for Optimization and Learning</t>
  </si>
  <si>
    <t>kas410@lehigh.edu</t>
  </si>
  <si>
    <t>1740735</t>
  </si>
  <si>
    <t>Liu</t>
  </si>
  <si>
    <t>Han</t>
  </si>
  <si>
    <t>Northwestern University</t>
  </si>
  <si>
    <t>Collaborative Research: TRIPODS Institute for Optimization and Learning</t>
  </si>
  <si>
    <t>hanliu@princeton.edu</t>
  </si>
  <si>
    <t>1740762</t>
  </si>
  <si>
    <t>VA</t>
  </si>
  <si>
    <t>Mark</t>
  </si>
  <si>
    <t>VA Polytechnic Inst &amp; St U</t>
  </si>
  <si>
    <t>V,V/G,P</t>
  </si>
  <si>
    <t>TRIPODS: Institute for Data, Models, and Algorithms Across Scales</t>
  </si>
  <si>
    <t>embree@vt.edu</t>
  </si>
  <si>
    <t>Rene</t>
  </si>
  <si>
    <t>V,V/G,G</t>
  </si>
  <si>
    <t>The Johns Hopkins Mathematical Institute for Data Science (MINDS)</t>
  </si>
  <si>
    <t>rvidal@cis.jhu.edu</t>
  </si>
  <si>
    <t>UT</t>
  </si>
  <si>
    <t>University of Utah</t>
  </si>
  <si>
    <t>V,V,G</t>
  </si>
  <si>
    <t>TRIPODS : Structured Dimensionality and Data Reduction for Statistical Inference</t>
  </si>
  <si>
    <t>jeffp@cs.utah.edu</t>
  </si>
  <si>
    <t>Sayan</t>
  </si>
  <si>
    <t>Duke University</t>
  </si>
  <si>
    <t>E/V,V/G,F</t>
  </si>
  <si>
    <t>Geometric Data Science</t>
  </si>
  <si>
    <t>sayan@stat.duke.edu</t>
  </si>
  <si>
    <t>Brendan</t>
  </si>
  <si>
    <t>Montana State University</t>
  </si>
  <si>
    <t>V,V/G,G/F</t>
  </si>
  <si>
    <t>Big Sky Data Science Institute: From Data to Discovery</t>
  </si>
  <si>
    <t>brendan.mumey@montana.edu</t>
  </si>
  <si>
    <t>NJ</t>
  </si>
  <si>
    <t>Emmanuel</t>
  </si>
  <si>
    <t>Princeton University</t>
  </si>
  <si>
    <t>Structure, Randomness, and Information in Data Science</t>
  </si>
  <si>
    <t>eabbe@princeton.edu</t>
  </si>
  <si>
    <t>MN</t>
  </si>
  <si>
    <t>Gilad</t>
  </si>
  <si>
    <t>U of Minnesota-Twin Cities</t>
  </si>
  <si>
    <t>Transdisciplinary Foundations of Data Science</t>
  </si>
  <si>
    <t>lerman@umn.edu</t>
  </si>
  <si>
    <t>Harvard University</t>
  </si>
  <si>
    <t>V,F,F</t>
  </si>
  <si>
    <t>Data Science (DS) Principles Center</t>
  </si>
  <si>
    <t>michaelm@eecs.harvard.edu</t>
  </si>
  <si>
    <t>Bhubaneswar</t>
  </si>
  <si>
    <t>New York University</t>
  </si>
  <si>
    <t>F,F,F</t>
  </si>
  <si>
    <t>Collaborative Research: TRIPODS: Foundations of Data Science through the Lens of Creolization</t>
  </si>
  <si>
    <t>mishra@cs.nyu.edu</t>
  </si>
  <si>
    <t>1740789</t>
  </si>
  <si>
    <t>Mitter</t>
  </si>
  <si>
    <t>Sanjoy</t>
  </si>
  <si>
    <t>mitter@mit.edu</t>
  </si>
  <si>
    <t>College of Charleston</t>
  </si>
  <si>
    <t>G,F/P,F/P</t>
  </si>
  <si>
    <t>TRIPODS: Phase I: Institute on Graph Analytics and Rankability in Data Science (IGARDS)</t>
  </si>
  <si>
    <t>andersonpe2@cofc.edu</t>
  </si>
  <si>
    <t>Jiming</t>
  </si>
  <si>
    <t>U of Cal Davis</t>
  </si>
  <si>
    <t>G,G/F,F</t>
  </si>
  <si>
    <t>Institute for Principles of Data Science: Theory, Computation, and Application</t>
  </si>
  <si>
    <t>jiang@wald.ucdavis.edu</t>
  </si>
  <si>
    <t>Anil</t>
  </si>
  <si>
    <t>E,V/G,P</t>
  </si>
  <si>
    <t>Accountability in Data Science: Metrics and Interpretability</t>
  </si>
  <si>
    <t>hirani@illinois.edu</t>
  </si>
  <si>
    <t>Monnie</t>
  </si>
  <si>
    <t>Foundational Network Science Research as a Mechanism for Education and Outreach in Data Science</t>
  </si>
  <si>
    <t>mmcgee@smu.edu</t>
  </si>
  <si>
    <t>Moshe</t>
  </si>
  <si>
    <t>William Marsh Rice Univ</t>
  </si>
  <si>
    <t>V,G,G</t>
  </si>
  <si>
    <t>Collaborative Research: Texas TRIPOD for Research on Algorithmic Foundations of Data Science</t>
  </si>
  <si>
    <t>vardi@rice.edu</t>
  </si>
  <si>
    <t>Bani</t>
  </si>
  <si>
    <t>Texas A&amp;M Main Campus</t>
  </si>
  <si>
    <t>bmallick@stat.tamu.edu</t>
  </si>
  <si>
    <t>Inderjit</t>
  </si>
  <si>
    <t>inderjit@cs.utexas.edu</t>
  </si>
  <si>
    <t>Kilian</t>
  </si>
  <si>
    <t>Cornell University</t>
  </si>
  <si>
    <t>E,E,E/V</t>
  </si>
  <si>
    <t>TRIPODS: Data Science for Improved Decision-Making: Learning in the Context of Uncertainty, Causality, Privacy, and Network Structures</t>
  </si>
  <si>
    <t>kilianweinberger@cornell.edu</t>
  </si>
  <si>
    <t>Carlos</t>
  </si>
  <si>
    <t>Building the Foundations of Data Science</t>
  </si>
  <si>
    <t>cfg3@nyu.edu</t>
  </si>
  <si>
    <t>Fundamental Trade-offs Throughout the Data Science Lifecycle</t>
  </si>
  <si>
    <t>mcgregor@cs.umass.edu</t>
  </si>
  <si>
    <t>Parthasarathi</t>
  </si>
  <si>
    <t>U of MD College Park</t>
  </si>
  <si>
    <t>Institute for Data Integration and Linkage</t>
  </si>
  <si>
    <t>plahiri@umd.edu</t>
  </si>
  <si>
    <t>Allan</t>
  </si>
  <si>
    <t>U of Pittsburgh</t>
  </si>
  <si>
    <t>E,G,F</t>
  </si>
  <si>
    <t>University of Pittsburgh Theoretical Research, Educational and Transformative Data Science Institute (TREaT)</t>
  </si>
  <si>
    <t>asampson@pitt.edu</t>
  </si>
  <si>
    <t>Kandethody</t>
  </si>
  <si>
    <t>G,G,G,F,F/P</t>
  </si>
  <si>
    <t>TRIPODS: Interdisciplinary Data Sciences Institute (IDSI)</t>
  </si>
  <si>
    <t>ram@usf.edu</t>
  </si>
  <si>
    <t>E/V,E/V,G</t>
  </si>
  <si>
    <t>TRIPODS: From Foundations to Practice of Data Science and Back</t>
  </si>
  <si>
    <t>jw2966@columbia.edu</t>
  </si>
  <si>
    <t>Konstantin</t>
  </si>
  <si>
    <t>Rutgers Univ New Brunswick</t>
  </si>
  <si>
    <t>Institute for Theoretical Advancements in Data Science (ITADS)</t>
  </si>
  <si>
    <t>mischaik@math.rutgers.edu</t>
  </si>
  <si>
    <t>Lorenzo</t>
  </si>
  <si>
    <t>Boston University</t>
  </si>
  <si>
    <t>TRIPODS: Boston University's Institute for Transdisciplinary Research in Principles of Data Science</t>
  </si>
  <si>
    <t>orecchia@bu.edu</t>
  </si>
  <si>
    <t>Tanya</t>
  </si>
  <si>
    <t>U of Illinois Chicago</t>
  </si>
  <si>
    <t>UIC Institute for the Mathematical Foundations of Data Science</t>
  </si>
  <si>
    <t>tanyabw@uic.edu</t>
  </si>
  <si>
    <t>Yoram</t>
  </si>
  <si>
    <t>Foundations for Data Science</t>
  </si>
  <si>
    <t>ybresler@illinois.edu</t>
  </si>
  <si>
    <t>Jay</t>
  </si>
  <si>
    <t>Marquette University</t>
  </si>
  <si>
    <t>Marquette TRIPODS Institute Proposal</t>
  </si>
  <si>
    <t>jay.bayne@marquette.edu</t>
  </si>
  <si>
    <t>Pietro</t>
  </si>
  <si>
    <t>Kansas State University</t>
  </si>
  <si>
    <t>Data and Networks Optimization Design and Experimentation (DNODE)</t>
  </si>
  <si>
    <t>pietro@math.ksu.edu</t>
  </si>
  <si>
    <t>Jennifer</t>
  </si>
  <si>
    <t>U of Nebraska-Lincoln</t>
  </si>
  <si>
    <t>Midwest Institute for Data Driven Synergies (MiDS)</t>
  </si>
  <si>
    <t>jclarke3@unl.edu</t>
  </si>
  <si>
    <t>Lise</t>
  </si>
  <si>
    <t>U of Cal Santa Cruz</t>
  </si>
  <si>
    <t>E,V,V/G</t>
  </si>
  <si>
    <t>TRIPODS: Towards a Unified Theory of Structure, Incompleteness &amp; Uncertainty in Heterogeneous Graphs</t>
  </si>
  <si>
    <t>getoor@soe.ucsc.edu</t>
  </si>
  <si>
    <t>Pierre</t>
  </si>
  <si>
    <t>U of Cal Irvine</t>
  </si>
  <si>
    <t>UCI Trandisciplinary Research Institute in Principles of Data Science: Deep Learning</t>
  </si>
  <si>
    <t>pfbaldi@ics.uci.edu</t>
  </si>
  <si>
    <t>U of Cal Santa Barbara</t>
  </si>
  <si>
    <t>TRIPODS: Santa Barbara Institute for Data Theory</t>
  </si>
  <si>
    <t>gilbert@cs.ucsb.edu</t>
  </si>
  <si>
    <t>Fuchang</t>
  </si>
  <si>
    <t>University of Idaho</t>
  </si>
  <si>
    <t>Institute for Neural Networks</t>
  </si>
  <si>
    <t>fuchang@uidaho.edu</t>
  </si>
  <si>
    <t>U of Cal Berkeley</t>
  </si>
  <si>
    <t>E,V,V</t>
  </si>
  <si>
    <t>TRIPODS: Berkeley Institute on the Foundations of Data Analysis</t>
  </si>
  <si>
    <t>mmahoney@icsi.berkeley.edu</t>
  </si>
  <si>
    <t>AZ</t>
  </si>
  <si>
    <t>Hao</t>
  </si>
  <si>
    <t>U of Arizona</t>
  </si>
  <si>
    <t>TRIPODS: UA-TRIPODS - Building Theoretical Foundations for Data Sciences</t>
  </si>
  <si>
    <t>hzhang@math.arizona.edu</t>
  </si>
  <si>
    <t>James</t>
  </si>
  <si>
    <t>University San Francisco</t>
  </si>
  <si>
    <t>The San Francisco Data Institute</t>
  </si>
  <si>
    <t>jdwilson4@usfca.edu</t>
  </si>
  <si>
    <t>Bulent</t>
  </si>
  <si>
    <t>Rensselaer Polytech Inst</t>
  </si>
  <si>
    <t>V,V,P</t>
  </si>
  <si>
    <t>Collaborative Research: TRIPODS: A Theoretical Framework for Solving Structured Missing Data Problems</t>
  </si>
  <si>
    <t>byener@gmail.com</t>
  </si>
  <si>
    <t>1740792</t>
  </si>
  <si>
    <t>Kafadar</t>
  </si>
  <si>
    <t>Karen</t>
  </si>
  <si>
    <t>University of Virginia</t>
  </si>
  <si>
    <t>kk3ab@virginia.edu</t>
  </si>
  <si>
    <t>05020000</t>
  </si>
  <si>
    <t>CAREER 18</t>
  </si>
  <si>
    <t>1045 7495</t>
  </si>
  <si>
    <t>IIS</t>
  </si>
  <si>
    <t>E/V,V,V,V/G,G,G,G/F</t>
  </si>
  <si>
    <t>Pending, PM recommends decline</t>
  </si>
  <si>
    <t>CAREER: Locally Adaptive Learning and Optimization with Faster Global Convergence</t>
  </si>
  <si>
    <t>E,E/V,V,G,G</t>
  </si>
  <si>
    <t>CAREER: Scaling Computation via Massively Distributed Algorithms</t>
  </si>
  <si>
    <t>bmoseley@seas.wustl.edu</t>
  </si>
  <si>
    <t>Sungjin</t>
  </si>
  <si>
    <t>U of Cal - Merced</t>
  </si>
  <si>
    <t>CAREER: New Algorithmic Foundations for Online Scheduling</t>
  </si>
  <si>
    <t>sim3@ucmerced.edu</t>
  </si>
  <si>
    <t>Aaron</t>
  </si>
  <si>
    <t>CAREER: Theory of Fast Graph Optimization</t>
  </si>
  <si>
    <t>sidford@stanford.edu</t>
  </si>
  <si>
    <t>1045 7927</t>
  </si>
  <si>
    <t>Omri</t>
  </si>
  <si>
    <t>E,V,V,G</t>
  </si>
  <si>
    <t>CAREER: Information Theoretic Methods for Understanding Computation</t>
  </si>
  <si>
    <t>omri@cs.columbia.edu</t>
  </si>
  <si>
    <t>CAREER: The Polynomial Method in Complexity and Cryptography</t>
  </si>
  <si>
    <t>jt1157@georgetown.edu</t>
  </si>
  <si>
    <t>Meisam</t>
  </si>
  <si>
    <t>U of Southern California</t>
  </si>
  <si>
    <t>V,G,G,G,G,G/F,G/F,G/F,F</t>
  </si>
  <si>
    <t>CAREER: Large Scale Mixture Models: Theory, Algorithms, and Applications in Computational Biology</t>
  </si>
  <si>
    <t>razaviya@usc.edu</t>
  </si>
  <si>
    <t>Shi</t>
  </si>
  <si>
    <t>V,G,G,G/F</t>
  </si>
  <si>
    <t>CAREER: CCF: Approximate Scheduling Algorithms via Mathematical Relaxations</t>
  </si>
  <si>
    <t>shil@buffalo.edu</t>
  </si>
  <si>
    <t>Viswanath</t>
  </si>
  <si>
    <t>CAREER: New Mathematical Programming Techniques in Approximation and Online Algorithms</t>
  </si>
  <si>
    <t>viswa@umich.edu</t>
  </si>
  <si>
    <t>Debmalya</t>
  </si>
  <si>
    <t>E,E/V,V,V</t>
  </si>
  <si>
    <t>CAREER: New Directions in Graph Algorithms</t>
  </si>
  <si>
    <t>debmalya.panigrahi@gmail.com</t>
  </si>
  <si>
    <t>E/V,V,V/G,V/G</t>
  </si>
  <si>
    <t>CAREER: Optimizing Distances: Compression and Network Design</t>
  </si>
  <si>
    <t>mdinitz@cs.jhu.edu</t>
  </si>
  <si>
    <t>Alina</t>
  </si>
  <si>
    <t>E,E/V,E/V,G</t>
  </si>
  <si>
    <t>CAREER: New Algorithms for Submodular Optimization</t>
  </si>
  <si>
    <t>aene@bu.edu</t>
  </si>
  <si>
    <t>1045 7926 9150</t>
  </si>
  <si>
    <t>V,G,G/F,G/F</t>
  </si>
  <si>
    <t>CAREER: Sublinear Algorithms on Flaky Data</t>
  </si>
  <si>
    <t>pvaliant@gmail.com</t>
  </si>
  <si>
    <t>1045 7932</t>
  </si>
  <si>
    <t>Ruta</t>
  </si>
  <si>
    <t>E,V,V,V/G</t>
  </si>
  <si>
    <t>CAREER: Equilibrium Computation and Other Total Search Problems</t>
  </si>
  <si>
    <t>rutameht@illinois.edu</t>
  </si>
  <si>
    <t>Gillat</t>
  </si>
  <si>
    <t>E,V,V,V,V/G,G,G,G,G</t>
  </si>
  <si>
    <t>CAREER: Communication, Information, and Interactive Compression</t>
  </si>
  <si>
    <t>gillat.kol@gmail.com</t>
  </si>
  <si>
    <t>Sharath</t>
  </si>
  <si>
    <t>E/V,V,V/G,G</t>
  </si>
  <si>
    <t>CAREER:Robust and Optimal Algorithms for Real-Time Pick-Up and Delivery Problems</t>
  </si>
  <si>
    <t>sharathr@vt.edu</t>
  </si>
  <si>
    <t>Moritz</t>
  </si>
  <si>
    <t>E,E,E,E/V</t>
  </si>
  <si>
    <t>CAREER: Stable Foundations for Reliable Machine Learning</t>
  </si>
  <si>
    <t xml:space="preserve"> hardt@eecs.berkeley.edu</t>
  </si>
  <si>
    <t>Jonathan</t>
  </si>
  <si>
    <t>Northeastern University</t>
  </si>
  <si>
    <t>E,E,E/V,E/V</t>
  </si>
  <si>
    <t>CAREER:A Stable Foundation for Trustworthy Data Analysis</t>
  </si>
  <si>
    <t>jullman@ccs.neu.edu</t>
  </si>
  <si>
    <t>Pranjal</t>
  </si>
  <si>
    <t>V,G,G,G</t>
  </si>
  <si>
    <t>CAREER: Towards provably robust algorithms for unsupervised learning: A distribution-free approach</t>
  </si>
  <si>
    <t>pranjal.iitm@gmail.com</t>
  </si>
  <si>
    <t>Huy</t>
  </si>
  <si>
    <t>E,E/V,V,V/G</t>
  </si>
  <si>
    <t>CAREER: Faster and Smaller Sketches for Bigger Data</t>
  </si>
  <si>
    <t>hu.nguyen@neu.edu</t>
  </si>
  <si>
    <t>Bernhard</t>
  </si>
  <si>
    <t>E,E,E,E/V,E/V,V,V,G</t>
  </si>
  <si>
    <t>CAREER: A Theory of Error Correction for Interactive Communication</t>
  </si>
  <si>
    <t>haeupler@cs.cmu.edu</t>
  </si>
  <si>
    <t>Ning</t>
  </si>
  <si>
    <t>Florida International Univ</t>
  </si>
  <si>
    <t>G,F,F,F</t>
  </si>
  <si>
    <t>CAREER: A Study of Some Problems in Boolean Function Analysis</t>
  </si>
  <si>
    <t>nxie@cs.fiu.edu</t>
  </si>
  <si>
    <t>Eric</t>
  </si>
  <si>
    <t>CAREER:Fundamental algorithms for data-limited problems</t>
  </si>
  <si>
    <t>ecprice@cs.utexas.edu</t>
  </si>
  <si>
    <t>Periklis</t>
  </si>
  <si>
    <t>Rutgers U Newark</t>
  </si>
  <si>
    <t>V/G,G,G/F,F</t>
  </si>
  <si>
    <t>CAREER: New directions in the foundations of heuristics in machine learning and constraint satisfaction</t>
  </si>
  <si>
    <t>periklis.research@gmail.com</t>
  </si>
  <si>
    <t>Vasilis</t>
  </si>
  <si>
    <t>Drexel University</t>
  </si>
  <si>
    <t>CAREER: Optimal Mechanism Design without Monetary Transfers</t>
  </si>
  <si>
    <t>gkatz@drexel.edu</t>
  </si>
  <si>
    <t>1045 7934 9150</t>
  </si>
  <si>
    <t>Maxwell</t>
  </si>
  <si>
    <t>Mississippi State Univ</t>
  </si>
  <si>
    <t>E,G,G,G/F</t>
  </si>
  <si>
    <t>CAREER: How to Share a Channel with Friends and Foes: Algorithm Design and Validation for Contention Resolution</t>
  </si>
  <si>
    <t>maxwelly@outlook.com</t>
  </si>
  <si>
    <t>Aditya</t>
  </si>
  <si>
    <t>CAREER: Theoretical Machine Learning: Algorithms and Complexity</t>
  </si>
  <si>
    <t>bhaskara@cs.utah.edu</t>
  </si>
  <si>
    <t>1045 7929 9150</t>
  </si>
  <si>
    <t>Brittany</t>
  </si>
  <si>
    <t>CAREER: Foundations and Applications of Statistics in TDA</t>
  </si>
  <si>
    <t>brittany@cs.montana.edu</t>
  </si>
  <si>
    <t>Nodari</t>
  </si>
  <si>
    <t>U of Hawaii</t>
  </si>
  <si>
    <t>V,V/G,G,G/F</t>
  </si>
  <si>
    <t>CAREER: Locality-Conscious Parallel Algorithms</t>
  </si>
  <si>
    <t>nodari@hawaii.edu</t>
  </si>
  <si>
    <t>CRII FY18</t>
  </si>
  <si>
    <t>7495 8228</t>
  </si>
  <si>
    <t>Anirudha</t>
  </si>
  <si>
    <t>E/V,E/V,E/V,G,G,G/F,F</t>
  </si>
  <si>
    <t>CRII: RI: Memory-efficient Representations for Robot Tasks: Lower Bounds and Scalable Algorithms</t>
  </si>
  <si>
    <t>ani.majumdar@princeton.edu</t>
  </si>
  <si>
    <t>Weitian</t>
  </si>
  <si>
    <t>Ga. Southern Univ. R&amp;S Fdn</t>
  </si>
  <si>
    <t>CRII: AF: Practical Privacy-preserving Mechanisms under Differential Privacy and Smoothed Analysis</t>
  </si>
  <si>
    <t>wtong@georgiasouthern.edu</t>
  </si>
  <si>
    <t>Kai</t>
  </si>
  <si>
    <t>G/F,F,F,F</t>
  </si>
  <si>
    <t>CRII: AF: fast maximum edge-weight clique solvers and their applications</t>
  </si>
  <si>
    <t>kwang@georgiasouthern.edu</t>
  </si>
  <si>
    <t>Yuan</t>
  </si>
  <si>
    <t>CRII:AF: Data Oriented Multi-Arm Bandit Algorithms</t>
  </si>
  <si>
    <t>yzhoucs@indiana.edu</t>
  </si>
  <si>
    <t>7932 8228</t>
  </si>
  <si>
    <t>Jugal</t>
  </si>
  <si>
    <t>CRII: AF: Strongly Polynomial Algorithms for Market Equilibria with Applications to Network Flows and Nash Social Welfare</t>
  </si>
  <si>
    <t>jugal@illinois.edu</t>
  </si>
  <si>
    <t>FEI</t>
  </si>
  <si>
    <t>E,V/G,G,G,F</t>
  </si>
  <si>
    <t>CRII: RI: Strategy Design in Two-Layered Stackelberg Games</t>
  </si>
  <si>
    <t>feifang@cmu.edu</t>
  </si>
  <si>
    <t>Mayank</t>
  </si>
  <si>
    <t>CUNY Queens College</t>
  </si>
  <si>
    <t>V,V,V</t>
  </si>
  <si>
    <t>CRII: AF: RUI: Faster and Cache-Efficient Similarity Filters and Searches for Big Data</t>
  </si>
  <si>
    <t>Mayank.Goswami@qc.cuny.edu</t>
  </si>
  <si>
    <t>Tuo</t>
  </si>
  <si>
    <t>V,G,G,G,G,G,F</t>
  </si>
  <si>
    <t>CRII:RI Model-based Nonconvex Optimization for Efficient and Scalable Representation Learning from Massive Data</t>
  </si>
  <si>
    <t>tzhao80@gatech.edu</t>
  </si>
  <si>
    <t>Rochester Inst of Tech</t>
  </si>
  <si>
    <t>CRII: AF: Fair and Truthful Mechanisms for Sequential Matching Under Uncertainty</t>
  </si>
  <si>
    <t>hhvcs@rit.edu</t>
  </si>
  <si>
    <t>7927 8228</t>
  </si>
  <si>
    <t>CRII:AF:Linear-Algebraic Pseudorandomness</t>
  </si>
  <si>
    <t>miforbes@illinois.edu</t>
  </si>
  <si>
    <t>Adolfo</t>
  </si>
  <si>
    <t>Arizona State University</t>
  </si>
  <si>
    <t>V/G,G,G/F</t>
  </si>
  <si>
    <t>CRII: AF: Robust Algorithmic Foundations for the Impartial Aggregation of Incomplete Ranking Data</t>
  </si>
  <si>
    <t>adres@asu.edu</t>
  </si>
  <si>
    <t>CRII: AF: Practical Auction Design using the Deferred-Acceptance Framework</t>
  </si>
  <si>
    <t>U of Houston</t>
  </si>
  <si>
    <t>CRII: AF: Polynomial Time Approximation Schemes Subexponential in the Parameter</t>
  </si>
  <si>
    <t>lchen49@central.uh.edu</t>
  </si>
  <si>
    <t>TRIPODS Panel 1</t>
  </si>
  <si>
    <t>30 rated projects: 2 HR, 8 R, 11 NR, 9 NDP</t>
  </si>
  <si>
    <t>Transdisciplinary Research in Principles of Data Science Phase I</t>
  </si>
  <si>
    <t xml:space="preserve">mshub@ccny.cuny.edu      </t>
  </si>
  <si>
    <t>TRIPODS Panel 2</t>
  </si>
  <si>
    <t xml:space="preserve"> E/V,V,V</t>
  </si>
  <si>
    <t>30 rated projects: 2 HR, 7 R, 10 NR, 11 NDP</t>
  </si>
  <si>
    <t>Christopher W. Stark</t>
  </si>
  <si>
    <t xml:space="preserve">sham@cs.washington.edu      </t>
  </si>
  <si>
    <t xml:space="preserve"> G,G,F</t>
  </si>
  <si>
    <t xml:space="preserve">ccraini1@jhu.edu;ekaterina.smirnova@mso.umt.edu;fjafari@uwyo.edu    </t>
  </si>
  <si>
    <t xml:space="preserve"> G,F,F</t>
  </si>
  <si>
    <t xml:space="preserve">kfs7@georgetown.edu;cmontel@gwu.edu     </t>
  </si>
  <si>
    <t xml:space="preserve"> E,V/G,F</t>
  </si>
  <si>
    <t>Nandini Kannan</t>
  </si>
  <si>
    <t xml:space="preserve">jgill@american.edu;erin.chambers@slu.edu     </t>
  </si>
  <si>
    <t xml:space="preserve"> G,G,G/F</t>
  </si>
  <si>
    <t xml:space="preserve">nalini.ravishanker@uconn.edu;laubenbacher@uchc.edu;lavine@math.umass.edu    </t>
  </si>
  <si>
    <t xml:space="preserve"> V,V,G/F</t>
  </si>
  <si>
    <t xml:space="preserve">gvaliant@cs.stanford.edu      </t>
  </si>
  <si>
    <t xml:space="preserve"> V,G/F,F</t>
  </si>
  <si>
    <t xml:space="preserve">spa@cs.purdue.edu;ipsen@ncsu.edu;ymb@uiuc.edu;risi@cs.uchicago.edu   </t>
  </si>
  <si>
    <t xml:space="preserve"> E,E,E</t>
  </si>
  <si>
    <t xml:space="preserve">swright@cs.wisc.edu      </t>
  </si>
  <si>
    <t xml:space="preserve">tianbao-yang@uiowa.edu      </t>
  </si>
  <si>
    <t xml:space="preserve"> E/V,V/G,G</t>
  </si>
  <si>
    <t xml:space="preserve">hridesh@iastate.edu;plale@cs.indiana.edu     </t>
  </si>
  <si>
    <t xml:space="preserve"> F,P,P</t>
  </si>
  <si>
    <t xml:space="preserve">noah_daniels@uri.edu      </t>
  </si>
  <si>
    <t xml:space="preserve">Jeff_Brock@brown.edu      </t>
  </si>
  <si>
    <t xml:space="preserve">EDELMAN@MATH.MIT.EDU;johnq@jimmy.harvard.edu;gelman@stat.columbia.edu    </t>
  </si>
  <si>
    <t xml:space="preserve"> E/V,V,V/G</t>
  </si>
  <si>
    <t xml:space="preserve">indyk@mit.edu      </t>
  </si>
  <si>
    <t xml:space="preserve"> G/F,G/F,F</t>
  </si>
  <si>
    <t xml:space="preserve">brian@cse.lehigh.edu      </t>
  </si>
  <si>
    <t xml:space="preserve"> E,V/G,G</t>
  </si>
  <si>
    <t xml:space="preserve">annacg@umich.edu;christlieb@math.msu.edu     </t>
  </si>
  <si>
    <t xml:space="preserve">tamaldey@cse.ohio-state.edu      </t>
  </si>
  <si>
    <t xml:space="preserve"> V/G,V/G,G/F</t>
  </si>
  <si>
    <t xml:space="preserve">larry@stat.cmu.edu      </t>
  </si>
  <si>
    <t xml:space="preserve">xiaoming@isye.gatech.edu      </t>
  </si>
  <si>
    <t xml:space="preserve"> G,G,P</t>
  </si>
  <si>
    <t xml:space="preserve">carbonjo@buffalostate.edu;jsperhac@buffalo.edu;ibichind@oswego.edu;lisa.walters@fredonia.edu;sdang@binghamton.edu  </t>
  </si>
  <si>
    <t xml:space="preserve"> V/G,V/G,V/G</t>
  </si>
  <si>
    <t xml:space="preserve">gmichail@ufl.edu      </t>
  </si>
  <si>
    <t xml:space="preserve">mitran@unc.edu      </t>
  </si>
  <si>
    <t xml:space="preserve"> V,V,V/G</t>
  </si>
  <si>
    <t xml:space="preserve">kas410@lehigh.edu;hanliu@princeton.edu;francesco@cs.stonybrook.edu    </t>
  </si>
  <si>
    <t xml:space="preserve"> V,V/G,P</t>
  </si>
  <si>
    <t xml:space="preserve">embree@vt.edu      </t>
  </si>
  <si>
    <t xml:space="preserve"> V,V/G,G</t>
  </si>
  <si>
    <t xml:space="preserve">rvidal@cis.jhu.edu      </t>
  </si>
  <si>
    <t xml:space="preserve"> V,V,G</t>
  </si>
  <si>
    <t xml:space="preserve">jeffp@cs.utah.edu      </t>
  </si>
  <si>
    <t xml:space="preserve"> E/V,V/G,F</t>
  </si>
  <si>
    <t xml:space="preserve">sayan@stat.duke.edu      </t>
  </si>
  <si>
    <t xml:space="preserve"> V,V/G,G/F</t>
  </si>
  <si>
    <t xml:space="preserve">brendan.mumey@montana.edu      </t>
  </si>
  <si>
    <t xml:space="preserve">eabbe@princeton.edu      </t>
  </si>
  <si>
    <t xml:space="preserve">lerman@umn.edu      </t>
  </si>
  <si>
    <t xml:space="preserve"> V,F,F</t>
  </si>
  <si>
    <t xml:space="preserve">michaelm@eecs.harvard.edu      </t>
  </si>
  <si>
    <t xml:space="preserve"> F,F,F</t>
  </si>
  <si>
    <t xml:space="preserve">mishra@cs.nyu.edu;mitter@mit.edu     </t>
  </si>
  <si>
    <t xml:space="preserve"> G,F/P,F/P</t>
  </si>
  <si>
    <t xml:space="preserve">andersonpe2@cofc.edu      </t>
  </si>
  <si>
    <t xml:space="preserve"> G,G/F,F</t>
  </si>
  <si>
    <t xml:space="preserve">jiang@wald.ucdavis.edu      </t>
  </si>
  <si>
    <t xml:space="preserve"> E,V/G,P</t>
  </si>
  <si>
    <t xml:space="preserve">hirani@illinois.edu      </t>
  </si>
  <si>
    <t xml:space="preserve">mmcgee@smu.edu      </t>
  </si>
  <si>
    <t xml:space="preserve"> V,G,G</t>
  </si>
  <si>
    <t xml:space="preserve">vardi@rice.edu;bmallick@stat.tamu.edu;inderjit@cs.utexas.edu    </t>
  </si>
  <si>
    <t xml:space="preserve"> E,E,E/V</t>
  </si>
  <si>
    <t xml:space="preserve">kilianweinberger@cornell.edu      </t>
  </si>
  <si>
    <t xml:space="preserve">cfg3@nyu.edu      </t>
  </si>
  <si>
    <t xml:space="preserve">mcgregor@cs.umass.edu      </t>
  </si>
  <si>
    <t xml:space="preserve">plahiri@umd.edu      </t>
  </si>
  <si>
    <t xml:space="preserve"> E,G,F</t>
  </si>
  <si>
    <t xml:space="preserve">asampson@pitt.edu      </t>
  </si>
  <si>
    <t xml:space="preserve"> G,G,G,F,F/P</t>
  </si>
  <si>
    <t xml:space="preserve">ram@usf.edu      </t>
  </si>
  <si>
    <t xml:space="preserve"> E/V,E/V,G</t>
  </si>
  <si>
    <t xml:space="preserve">jw2966@columbia.edu      </t>
  </si>
  <si>
    <t xml:space="preserve">mischaik@math.rutgers.edu      </t>
  </si>
  <si>
    <t xml:space="preserve">orecchia@bu.edu      </t>
  </si>
  <si>
    <t xml:space="preserve">tanyabw@uic.edu      </t>
  </si>
  <si>
    <t xml:space="preserve">ybresler@illinois.edu      </t>
  </si>
  <si>
    <t xml:space="preserve">jay.bayne@marquette.edu      </t>
  </si>
  <si>
    <t xml:space="preserve">pietro@math.ksu.edu      </t>
  </si>
  <si>
    <t xml:space="preserve">jclarke3@unl.edu      </t>
  </si>
  <si>
    <t xml:space="preserve"> E,V,V/G</t>
  </si>
  <si>
    <t xml:space="preserve">getoor@soe.ucsc.edu      </t>
  </si>
  <si>
    <t xml:space="preserve">pfbaldi@ics.uci.edu      </t>
  </si>
  <si>
    <t xml:space="preserve">gilbert@cs.ucsb.edu      </t>
  </si>
  <si>
    <t xml:space="preserve">fuchang@uidaho.edu      </t>
  </si>
  <si>
    <t xml:space="preserve"> E,V,V</t>
  </si>
  <si>
    <t xml:space="preserve">mmahoney@icsi.berkeley.edu      </t>
  </si>
  <si>
    <t xml:space="preserve">hzhang@math.arizona.edu      </t>
  </si>
  <si>
    <t xml:space="preserve">jdwilson4@usfca.edu      </t>
  </si>
  <si>
    <t xml:space="preserve"> V,V,P</t>
  </si>
  <si>
    <t xml:space="preserve">byener@gmail.com;kk3ab@virginia.edu     </t>
  </si>
  <si>
    <t xml:space="preserve"> V</t>
  </si>
  <si>
    <t>RI: CAREER/ML: Wong</t>
  </si>
  <si>
    <t xml:space="preserve"> E/V,V    ,G/F</t>
  </si>
  <si>
    <t>19 rated projects: 2 HC, 6 C, 10 LC, 1 NC</t>
  </si>
  <si>
    <t xml:space="preserve"> V/G,G,G</t>
  </si>
  <si>
    <t>Div Of Information &amp; Intelligent Systems</t>
  </si>
  <si>
    <t>Weng-keen Wong</t>
  </si>
  <si>
    <t xml:space="preserve"> E,E/V,V,G,G</t>
  </si>
  <si>
    <t>Rahul Shah</t>
  </si>
  <si>
    <t xml:space="preserve">bmoseley@seas.wustl.edu      </t>
  </si>
  <si>
    <t xml:space="preserve">sim3@ucmerced.edu      </t>
  </si>
  <si>
    <t xml:space="preserve">sidford@stanford.edu      </t>
  </si>
  <si>
    <t xml:space="preserve"> E,V,V,G</t>
  </si>
  <si>
    <t xml:space="preserve">omri@cs.columbia.edu      </t>
  </si>
  <si>
    <t xml:space="preserve">jt1157@georgetown.edu      </t>
  </si>
  <si>
    <t xml:space="preserve"> G</t>
  </si>
  <si>
    <t xml:space="preserve"> G,G,G   ,F</t>
  </si>
  <si>
    <t>Comp Bio Career Virtual Panel</t>
  </si>
  <si>
    <t xml:space="preserve"> V    ,G/F,G/F,G/F</t>
  </si>
  <si>
    <t>5 rated projects: 1 HC, 2 C, 2 LC</t>
  </si>
  <si>
    <t xml:space="preserve">razaviya@usc.edu      </t>
  </si>
  <si>
    <t xml:space="preserve"> V,G,G,G/F</t>
  </si>
  <si>
    <t xml:space="preserve">shil@buffalo.edu      </t>
  </si>
  <si>
    <t xml:space="preserve">viswa@umich.edu      </t>
  </si>
  <si>
    <t xml:space="preserve"> E,E/V,V,V</t>
  </si>
  <si>
    <t xml:space="preserve">debmalya.panigrahi@gmail.com      </t>
  </si>
  <si>
    <t xml:space="preserve"> E/V,V,V/G,V/G</t>
  </si>
  <si>
    <t xml:space="preserve">mdinitz@cs.jhu.edu      </t>
  </si>
  <si>
    <t xml:space="preserve"> E,E/V,E/V,G</t>
  </si>
  <si>
    <t xml:space="preserve">aene@bu.edu      </t>
  </si>
  <si>
    <t xml:space="preserve"> V,G,G/F,G/F</t>
  </si>
  <si>
    <t xml:space="preserve">pvaliant@gmail.com      </t>
  </si>
  <si>
    <t xml:space="preserve"> E,V,V,V/G</t>
  </si>
  <si>
    <t xml:space="preserve">rutameht@illinois.edu      </t>
  </si>
  <si>
    <t>CIF CAREER IT-COMM Panel</t>
  </si>
  <si>
    <t xml:space="preserve"> V/G,G,G,G,G</t>
  </si>
  <si>
    <t>17 rated projects: 3 HC, 3 C, 7 LC, 4 NC</t>
  </si>
  <si>
    <t xml:space="preserve">gillat.kol@gmail.com      </t>
  </si>
  <si>
    <t xml:space="preserve"> E/V,V,V/G,G</t>
  </si>
  <si>
    <t xml:space="preserve">sharathr@vt.edu      </t>
  </si>
  <si>
    <t xml:space="preserve"> E,E,E,E/V</t>
  </si>
  <si>
    <t xml:space="preserve"> hardt@eecs.berkeley.edu      </t>
  </si>
  <si>
    <t xml:space="preserve"> E,E,E/V,E/V</t>
  </si>
  <si>
    <t xml:space="preserve">jullman@ccs.neu.edu      </t>
  </si>
  <si>
    <t xml:space="preserve"> V,G,G,G</t>
  </si>
  <si>
    <t xml:space="preserve">pranjal.iitm@gmail.com      </t>
  </si>
  <si>
    <t xml:space="preserve"> E,E/V,V,V/G</t>
  </si>
  <si>
    <t xml:space="preserve">hu.nguyen@neu.edu      </t>
  </si>
  <si>
    <t xml:space="preserve"> E,E  ,V,V</t>
  </si>
  <si>
    <t xml:space="preserve"> E  ,E/V,E/V  ,G</t>
  </si>
  <si>
    <t xml:space="preserve">haeupler@cs.cmu.edu      </t>
  </si>
  <si>
    <t xml:space="preserve"> F</t>
  </si>
  <si>
    <t xml:space="preserve">nxie@cs.fiu.edu      </t>
  </si>
  <si>
    <t xml:space="preserve">ecprice@cs.utexas.edu      </t>
  </si>
  <si>
    <t xml:space="preserve"> V/G,G,G/F,F</t>
  </si>
  <si>
    <t xml:space="preserve">periklis.research@gmail.com      </t>
  </si>
  <si>
    <t xml:space="preserve">gkatz@drexel.edu      </t>
  </si>
  <si>
    <t xml:space="preserve"> E,G,G,G/F</t>
  </si>
  <si>
    <t xml:space="preserve">maxwelly@outlook.com      </t>
  </si>
  <si>
    <t xml:space="preserve">bhaskara@cs.utah.edu      </t>
  </si>
  <si>
    <t xml:space="preserve">brittany@cs.montana.edu      </t>
  </si>
  <si>
    <t xml:space="preserve"> V,V/G,G,G/F</t>
  </si>
  <si>
    <t xml:space="preserve">nodari@hawaii.edu      </t>
  </si>
  <si>
    <t>CRII Robotics: Reid</t>
  </si>
  <si>
    <t xml:space="preserve"> E/V,E/V,E/V,G</t>
  </si>
  <si>
    <t>15 rated projects: 2 HC, 3 C, 10 LC</t>
  </si>
  <si>
    <t>Reid Simmons</t>
  </si>
  <si>
    <t xml:space="preserve">ani.majumdar@princeton.edu      </t>
  </si>
  <si>
    <t xml:space="preserve">wtong@georgiasouthern.edu      </t>
  </si>
  <si>
    <t xml:space="preserve"> G/F,F,F,F</t>
  </si>
  <si>
    <t xml:space="preserve">kwang@georgiasouthern.edu      </t>
  </si>
  <si>
    <t xml:space="preserve">yzhoucs@indiana.edu      </t>
  </si>
  <si>
    <t xml:space="preserve">jugal@illinois.edu      </t>
  </si>
  <si>
    <t>CRII HLT and AI</t>
  </si>
  <si>
    <t xml:space="preserve"> G,F</t>
  </si>
  <si>
    <t>14 rated projects: 3 HC, 1 C, 9 LC, 1 NC</t>
  </si>
  <si>
    <t>James Donlon</t>
  </si>
  <si>
    <t xml:space="preserve">feifang@cmu.edu      </t>
  </si>
  <si>
    <t xml:space="preserve"> V,V,V</t>
  </si>
  <si>
    <t xml:space="preserve">Mayank.Goswami@qc.cuny.edu      </t>
  </si>
  <si>
    <t>CRII- Weng-keen</t>
  </si>
  <si>
    <t xml:space="preserve"> V   ,G ,F</t>
  </si>
  <si>
    <t>21 rated projects , 7 C, 14 LC</t>
  </si>
  <si>
    <t xml:space="preserve"> G,G  ,G</t>
  </si>
  <si>
    <t xml:space="preserve">tzhao80@gatech.edu      </t>
  </si>
  <si>
    <t xml:space="preserve">hhvcs@rit.edu      </t>
  </si>
  <si>
    <t xml:space="preserve">miforbes@illinois.edu      </t>
  </si>
  <si>
    <t xml:space="preserve"> V/G,G,G/F</t>
  </si>
  <si>
    <t xml:space="preserve">adres@asu.edu      </t>
  </si>
  <si>
    <t xml:space="preserve">lchen49@central.uh.edu      </t>
  </si>
  <si>
    <t>STND</t>
  </si>
  <si>
    <t xml:space="preserve">        </t>
  </si>
  <si>
    <t xml:space="preserve">France; Germany; United Kingdom     </t>
  </si>
  <si>
    <t xml:space="preserve">France; Poland; Switzerland     </t>
  </si>
  <si>
    <t xml:space="preserve">Germany; United Kingdom      </t>
  </si>
  <si>
    <t xml:space="preserve">Germany; Italy; Netherlands; United Kingdom    </t>
  </si>
  <si>
    <t>Pend</t>
  </si>
  <si>
    <t>FWA0001121</t>
  </si>
  <si>
    <t xml:space="preserve">Singapore; Sweden; United Kingdom     </t>
  </si>
  <si>
    <t xml:space="preserve">Germany; Norway; Spain     </t>
  </si>
  <si>
    <t>Pending</t>
  </si>
  <si>
    <t xml:space="preserve">Lithuania; Sweden      </t>
  </si>
  <si>
    <t xml:space="preserve">Canada; Netherlands      </t>
  </si>
  <si>
    <t xml:space="preserve">France; India; Singapore; United Kingdom    </t>
  </si>
  <si>
    <t xml:space="preserve">Austria; Canada; Finland     </t>
  </si>
  <si>
    <t xml:space="preserve">Finland; Hungary      </t>
  </si>
  <si>
    <t xml:space="preserve">Czech Republic; Finland; Swaziland     </t>
  </si>
  <si>
    <t xml:space="preserve">France; Germany; Netherlands; United Kingdom    </t>
  </si>
  <si>
    <t xml:space="preserve">Israel; Japan      </t>
  </si>
  <si>
    <t xml:space="preserve">Hong Kong; United Kingdom; Western Europe     </t>
  </si>
  <si>
    <t xml:space="preserve">Germany       </t>
  </si>
  <si>
    <t xml:space="preserve">Czech Republic; France; Italy; Japan    </t>
  </si>
  <si>
    <t xml:space="preserve">Worldwide       </t>
  </si>
  <si>
    <t xml:space="preserve">Sweden       </t>
  </si>
  <si>
    <t>05100002</t>
  </si>
  <si>
    <t>GOWENS</t>
  </si>
  <si>
    <t>03040000</t>
  </si>
  <si>
    <t>03</t>
  </si>
  <si>
    <t>03060000</t>
  </si>
  <si>
    <t>1253</t>
  </si>
  <si>
    <t>JROBIN</t>
  </si>
  <si>
    <t>04</t>
  </si>
  <si>
    <t>047Z 060Z 062Z</t>
  </si>
  <si>
    <t>01060000</t>
  </si>
  <si>
    <t>8078</t>
  </si>
  <si>
    <t>LENICHO</t>
  </si>
  <si>
    <t>01060100</t>
  </si>
  <si>
    <t>SWEILER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</si>
</sst>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7">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rgb="FFFF0000"/>
      <name val="Calibri"/>
      <scheme val="minor"/>
    </font>
    <font>
      <sz val="11"/>
      <color theme="1"/>
      <name val="Calibri"/>
      <scheme val="minor"/>
    </font>
    <font>
      <sz val="11"/>
      <name val="Calibri"/>
      <scheme val="minor"/>
    </font>
    <font>
      <sz val="11"/>
      <name val="Calibri"/>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32">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24" fillId="3" borderId="0" xfId="0" applyFont="1" applyFill="1" applyAlignment="1">
      <alignment horizontal="center" vertical="center"/>
    </xf>
    <xf numFmtId="0" fontId="0" fillId="0" borderId="0" xfId="0" applyFill="1" applyAlignment="1">
      <alignment horizontal="center"/>
    </xf>
    <xf numFmtId="0" fontId="33" fillId="0" borderId="0" xfId="0" applyFont="1"/>
    <xf numFmtId="0" fontId="33" fillId="0" borderId="0" xfId="1" applyFont="1"/>
    <xf numFmtId="166" fontId="34" fillId="0" borderId="0" xfId="2" applyNumberFormat="1" applyFont="1"/>
    <xf numFmtId="0" fontId="35" fillId="0" borderId="0" xfId="0" applyFont="1" applyFill="1"/>
    <xf numFmtId="0" fontId="36" fillId="0" borderId="0" xfId="1" applyFont="1"/>
    <xf numFmtId="165" fontId="35" fillId="0" borderId="0" xfId="1" applyNumberFormat="1" applyFont="1"/>
    <xf numFmtId="0" fontId="35" fillId="0" borderId="0" xfId="1" applyFont="1"/>
    <xf numFmtId="166" fontId="35" fillId="0" borderId="0" xfId="2" applyNumberFormat="1" applyFont="1"/>
    <xf numFmtId="166" fontId="35" fillId="0" borderId="0" xfId="2" applyNumberFormat="1" applyFont="1" applyFill="1"/>
    <xf numFmtId="0" fontId="35" fillId="0" borderId="1" xfId="1" applyFont="1" applyBorder="1"/>
  </cellXfs>
  <cellStyles count="6">
    <cellStyle name="Currency" xfId="2" builtinId="4"/>
    <cellStyle name="Hyperlink" xfId="1" builtinId="8"/>
    <cellStyle name="Normal" xfId="0" builtinId="0"/>
    <cellStyle name="Percent" xfId="5" builtinId="5"/>
    <cellStyle name="Subtotal" xfId="4"/>
    <cellStyle name="Subtotal Label" xfId="3"/>
  </cellStyles>
  <dxfs count="320">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8DCDD"/>
        </patternFill>
      </fill>
    </dxf>
    <dxf>
      <fill>
        <patternFill>
          <fgColor indexed="64"/>
          <bgColor rgb="FFFFF2CA"/>
        </patternFill>
      </fill>
    </dxf>
    <dxf>
      <fill>
        <patternFill>
          <fgColor indexed="64"/>
          <bgColor rgb="FFFFF2CA"/>
        </patternFill>
      </fill>
    </dxf>
    <dxf>
      <fill>
        <patternFill>
          <fgColor indexed="64"/>
          <bgColor rgb="FFEBF5CD"/>
        </patternFill>
      </fill>
    </dxf>
    <dxf>
      <fill>
        <patternFill>
          <fgColor indexed="64"/>
          <bgColor rgb="FFF8DCDD"/>
        </patternFill>
      </fill>
    </dxf>
    <dxf>
      <fill>
        <patternFill>
          <fgColor indexed="64"/>
          <bgColor rgb="FFFFF2CA"/>
        </patternFill>
      </fill>
    </dxf>
    <dxf>
      <fill>
        <patternFill>
          <fgColor indexed="64"/>
          <bgColor rgb="FFFFF2CA"/>
        </patternFill>
      </fill>
    </dxf>
    <dxf>
      <fill>
        <patternFill>
          <fgColor indexed="64"/>
          <bgColor rgb="FFFFF2CA"/>
        </patternFill>
      </fill>
    </dxf>
    <dxf>
      <fill>
        <patternFill>
          <fgColor indexed="64"/>
          <bgColor rgb="FFEBF5CD"/>
        </patternFill>
      </fill>
    </dxf>
    <dxf>
      <fill>
        <patternFill>
          <fgColor indexed="64"/>
          <bgColor rgb="FFEBF5CD"/>
        </patternFill>
      </fill>
    </dxf>
    <dxf>
      <fill>
        <patternFill>
          <bgColor rgb="FFFFF3D1"/>
        </patternFill>
      </fill>
    </dxf>
    <dxf>
      <fill>
        <patternFill>
          <bgColor theme="5" tint="0.79998168889431442"/>
        </patternFill>
      </fill>
    </dxf>
    <dxf>
      <fill>
        <patternFill>
          <bgColor theme="5" tint="0.79998168889431442"/>
        </patternFill>
      </fill>
    </dxf>
    <dxf>
      <fill>
        <patternFill>
          <bgColor rgb="FFE1FCC8"/>
        </patternFill>
      </fill>
    </dxf>
    <dxf>
      <fill>
        <patternFill>
          <fgColor indexed="64"/>
          <bgColor rgb="FFFBC3AF" tint="0.54997405926694543"/>
        </patternFill>
      </fill>
    </dxf>
    <dxf>
      <border>
        <top style="thin">
          <color auto="1"/>
        </top>
      </border>
    </dxf>
    <dxf>
      <fill>
        <patternFill>
          <fgColor indexed="64"/>
          <bgColor rgb="FFEBF5CD"/>
        </patternFill>
      </fill>
    </dxf>
    <dxf>
      <fill>
        <patternFill>
          <fgColor indexed="64"/>
          <bgColor rgb="FFFBC3AF" tint="0.499984740745262"/>
        </patternFill>
      </fill>
    </dxf>
    <dxf>
      <border>
        <top style="thin">
          <color auto="1"/>
        </top>
      </border>
    </dxf>
    <dxf>
      <fill>
        <patternFill>
          <fgColor indexed="64"/>
          <bgColor rgb="FFEBF5CD"/>
        </patternFill>
      </fill>
    </dxf>
    <dxf>
      <fill>
        <patternFill>
          <fgColor indexed="64"/>
          <bgColor rgb="FFFBC3AF" tint="0.94998016296884058"/>
        </patternFill>
      </fill>
    </dxf>
    <dxf>
      <border>
        <top style="thin">
          <color auto="1"/>
        </top>
      </border>
    </dxf>
    <dxf>
      <fill>
        <patternFill>
          <fgColor indexed="64"/>
          <bgColor rgb="FFEBF5CD"/>
        </patternFill>
      </fill>
    </dxf>
    <dxf>
      <fill>
        <patternFill>
          <fgColor indexed="64"/>
          <bgColor rgb="FFFBC3AF" tint="0.69997253334147158"/>
        </patternFill>
      </fill>
    </dxf>
    <dxf>
      <border>
        <top style="thin">
          <color auto="1"/>
        </top>
      </border>
    </dxf>
    <dxf>
      <fill>
        <patternFill>
          <fgColor indexed="64"/>
          <bgColor rgb="FFEBF5CD"/>
        </patternFill>
      </fill>
    </dxf>
    <dxf>
      <fill>
        <patternFill>
          <fgColor indexed="64"/>
          <bgColor rgb="FFFBC3AF"/>
        </patternFill>
      </fill>
    </dxf>
    <dxf>
      <border>
        <top style="thin">
          <color auto="1"/>
        </top>
      </border>
    </dxf>
    <dxf>
      <fill>
        <patternFill>
          <fgColor indexed="64"/>
          <bgColor rgb="FFEBF5CD"/>
        </patternFill>
      </fill>
    </dxf>
    <dxf>
      <fill>
        <patternFill>
          <fgColor indexed="64"/>
          <bgColor rgb="FFF8DCDD"/>
        </patternFill>
      </fill>
    </dxf>
    <dxf>
      <border>
        <top style="thin">
          <color auto="1"/>
        </top>
      </border>
    </dxf>
    <dxf>
      <fill>
        <patternFill>
          <fgColor indexed="64"/>
          <bgColor rgb="FFEBF5CD"/>
        </patternFill>
      </fill>
    </dxf>
    <dxf>
      <fill>
        <patternFill>
          <fgColor indexed="64"/>
          <bgColor rgb="FFF9DFE0"/>
        </patternFill>
      </fill>
    </dxf>
    <dxf>
      <border>
        <top style="thin">
          <color auto="1"/>
        </top>
      </border>
    </dxf>
    <dxf>
      <fill>
        <patternFill>
          <fgColor indexed="64"/>
          <bgColor rgb="FFEBF5CD"/>
        </patternFill>
      </fill>
    </dxf>
    <dxf>
      <fill>
        <patternFill>
          <fgColor indexed="64"/>
          <bgColor rgb="FFFBFDCF"/>
        </patternFill>
      </fill>
    </dxf>
    <dxf>
      <border>
        <top style="thin">
          <color auto="1"/>
        </top>
      </border>
    </dxf>
    <dxf>
      <fill>
        <patternFill>
          <fgColor indexed="64"/>
          <bgColor rgb="FFEBF5CD"/>
        </patternFill>
      </fill>
    </dxf>
    <dxf>
      <border>
        <top style="thin">
          <color auto="1"/>
        </top>
        <vertical/>
        <horizontal/>
      </border>
    </dxf>
    <dxf>
      <border>
        <top style="thin">
          <color auto="1"/>
        </top>
        <vertical/>
        <horizontal/>
      </border>
    </dxf>
    <dxf>
      <fill>
        <patternFill>
          <fgColor indexed="64"/>
          <bgColor rgb="FFEBF5CD"/>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fill>
        <patternFill>
          <bgColor rgb="FFFEEFE2"/>
        </patternFill>
      </fill>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27" formatCode="m/d/yyyy\ h:mm"/>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strike val="0"/>
        <outline val="0"/>
        <shadow val="0"/>
        <u val="none"/>
        <vertAlign val="baseline"/>
        <sz val="11"/>
        <color rgb="FFFF0000"/>
        <name val="Calibri"/>
        <scheme val="minor"/>
      </font>
    </dxf>
    <dxf>
      <font>
        <b/>
        <strike val="0"/>
        <outline val="0"/>
        <shadow val="0"/>
        <u val="none"/>
        <vertAlign val="baseline"/>
        <sz val="11"/>
        <color rgb="FFFF0000"/>
        <name val="Calibri"/>
        <scheme val="minor"/>
      </font>
    </dxf>
    <dxf>
      <font>
        <b/>
        <strike val="0"/>
        <outline val="0"/>
        <shadow val="0"/>
        <u val="none"/>
        <vertAlign val="baseline"/>
        <sz val="11"/>
        <color rgb="FFFF0000"/>
        <name val="Calibri"/>
        <scheme val="minor"/>
      </font>
    </dxf>
    <dxf>
      <font>
        <b/>
        <strike val="0"/>
        <outline val="0"/>
        <shadow val="0"/>
        <u val="none"/>
        <vertAlign val="baseline"/>
        <sz val="11"/>
        <color rgb="FFFF0000"/>
        <name val="Calibri"/>
        <scheme val="minor"/>
      </font>
    </dxf>
    <dxf>
      <numFmt numFmtId="168" formatCode="mm/dd/yy\ hh:mm"/>
    </dxf>
    <dxf>
      <numFmt numFmtId="168" formatCode="mm/dd/yy\ hh:mm"/>
    </dxf>
    <dxf>
      <numFmt numFmtId="2" formatCode="0.00"/>
    </dxf>
    <dxf>
      <font>
        <b/>
        <strike val="0"/>
        <outline val="0"/>
        <shadow val="0"/>
        <u val="none"/>
        <vertAlign val="baseline"/>
        <sz val="11"/>
        <color rgb="FFFF0000"/>
        <name val="Calibri"/>
        <scheme val="minor"/>
      </font>
    </dxf>
    <dxf>
      <numFmt numFmtId="165" formatCode="mm/dd/yy;@"/>
    </dxf>
    <dxf>
      <numFmt numFmtId="0" formatCode="General"/>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val="0"/>
        <i val="0"/>
        <strike val="0"/>
        <outline val="0"/>
        <shadow val="0"/>
        <u val="none"/>
        <vertAlign val="baseline"/>
        <sz val="11"/>
        <color auto="1"/>
        <name val="Calibri"/>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319"/>
      <tableStyleElement type="headerRow" dxfId="318"/>
      <tableStyleElement type="totalRow" dxfId="317"/>
      <tableStyleElement type="firstRowStripe" dxfId="316"/>
    </tableStyle>
    <tableStyle name="OmitTableStyle" pivot="0" count="6">
      <tableStyleElement type="wholeTable" dxfId="315"/>
      <tableStyleElement type="headerRow" dxfId="314"/>
      <tableStyleElement type="totalRow" dxfId="313"/>
      <tableStyleElement type="firstColumn" dxfId="312"/>
      <tableStyleElement type="lastColumn" dxfId="311"/>
      <tableStyleElement type="firstRowStripe" dxfId="310"/>
    </tableStyle>
    <tableStyle name="TableFall" pivot="0" count="4">
      <tableStyleElement type="wholeTable" dxfId="309"/>
      <tableStyleElement type="headerRow" dxfId="308"/>
      <tableStyleElement type="totalRow" dxfId="307"/>
      <tableStyleElement type="firstRowStripe" dxfId="306"/>
    </tableStyle>
    <tableStyle name="TableStyleMedium3 2" pivot="0" count="7">
      <tableStyleElement type="wholeTable" dxfId="305"/>
      <tableStyleElement type="headerRow" dxfId="304"/>
      <tableStyleElement type="totalRow" dxfId="303"/>
      <tableStyleElement type="firstColumn" dxfId="302"/>
      <tableStyleElement type="lastColumn" dxfId="301"/>
      <tableStyleElement type="firstRowStripe" dxfId="300"/>
      <tableStyleElement type="firstColumnStripe" dxfId="299"/>
    </tableStyle>
    <tableStyle name="TableStyleMedium7 2" pivot="0" count="7">
      <tableStyleElement type="wholeTable" dxfId="298"/>
      <tableStyleElement type="headerRow" dxfId="297"/>
      <tableStyleElement type="totalRow" dxfId="296"/>
      <tableStyleElement type="firstColumn" dxfId="295"/>
      <tableStyleElement type="lastColumn" dxfId="294"/>
      <tableStyleElement type="firstRowStripe" dxfId="293"/>
      <tableStyleElement type="firstColumnStripe" dxfId="292"/>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3" lockText="1"/>
</file>

<file path=xl/ctrlProps/ctrlProp5.xml><?xml version="1.0" encoding="utf-8"?>
<formControlPr xmlns="http://schemas.microsoft.com/office/spreadsheetml/2009/9/main" objectType="Radio" firstButton="1" fmlaLink="J2" lockText="1"/>
</file>

<file path=xl/ctrlProps/ctrlProp6.xml><?xml version="1.0" encoding="utf-8"?>
<formControlPr xmlns="http://schemas.microsoft.com/office/spreadsheetml/2009/9/main" objectType="Radio" checked="Checked"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5" dropStyle="combo" dx="35" fmlaLink="HiddenSettings!$E$6" fmlaRange="HiddenSettings!$D$7:$D$11" sel="5"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5"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2</xdr:row>
          <xdr:rowOff>21771</xdr:rowOff>
        </xdr:from>
        <xdr:to>
          <xdr:col>5</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7</xdr:col>
      <xdr:colOff>219075</xdr:colOff>
      <xdr:row>0</xdr:row>
      <xdr:rowOff>0</xdr:rowOff>
    </xdr:from>
    <xdr:to>
      <xdr:col>10</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4590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12</xdr:col>
          <xdr:colOff>1888671</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10</xdr:col>
          <xdr:colOff>10886</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954141</xdr:colOff>
      <xdr:row>0</xdr:row>
      <xdr:rowOff>0</xdr:rowOff>
    </xdr:from>
    <xdr:to>
      <xdr:col>6</xdr:col>
      <xdr:colOff>251732</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076855"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440063</xdr:colOff>
      <xdr:row>24</xdr:row>
      <xdr:rowOff>82276</xdr:rowOff>
    </xdr:from>
    <xdr:to>
      <xdr:col>4</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3</xdr:col>
      <xdr:colOff>508472</xdr:colOff>
      <xdr:row>24</xdr:row>
      <xdr:rowOff>46421</xdr:rowOff>
    </xdr:from>
    <xdr:to>
      <xdr:col>4</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1</xdr:col>
      <xdr:colOff>615834</xdr:colOff>
      <xdr:row>24</xdr:row>
      <xdr:rowOff>748</xdr:rowOff>
    </xdr:from>
    <xdr:to>
      <xdr:col>3</xdr:col>
      <xdr:colOff>302342</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217714</xdr:colOff>
          <xdr:row>22</xdr:row>
          <xdr:rowOff>10886</xdr:rowOff>
        </xdr:from>
        <xdr:to>
          <xdr:col>5</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97971</xdr:colOff>
          <xdr:row>4</xdr:row>
          <xdr:rowOff>201386</xdr:rowOff>
        </xdr:from>
        <xdr:to>
          <xdr:col>2</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76.60481597222" createdVersion="6" refreshedVersion="5"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SemiMixedTypes="0" containsNonDate="0" containsDate="1" containsString="0" minDate="2017-02-08T00:00:00" maxDate="2017-02-09T00:00:00"/>
    </cacheField>
    <cacheField name="cntx_stmt_id" numFmtId="0">
      <sharedItems/>
    </cacheField>
    <cacheField name="pgm_annc_id" numFmtId="0">
      <sharedItems/>
    </cacheField>
    <cacheField name="pObj" numFmtId="22">
      <sharedItems/>
    </cacheField>
    <cacheField name="bObj" numFmtId="22">
      <sharedItems/>
    </cacheField>
    <cacheField name="pOrg" numFmtId="0">
      <sharedItems/>
    </cacheField>
    <cacheField name="bOrg" numFmtId="0">
      <sharedItems/>
    </cacheField>
    <cacheField name="pPEC" numFmtId="0">
      <sharedItems/>
    </cacheField>
    <cacheField name="bPEC" numFmtId="0">
      <sharedItems containsBlank="1" count="7">
        <s v="7796"/>
        <m u="1"/>
        <s v="8078" u="1"/>
        <s v="1139" u="1"/>
        <s v="1253" u="1"/>
        <s v="9150" u="1"/>
        <s v="041Y" u="1"/>
      </sharedItems>
    </cacheField>
    <cacheField name="pPO" numFmtId="0">
      <sharedItems/>
    </cacheField>
    <cacheField name="bPO" numFmtId="0">
      <sharedItems/>
    </cacheField>
    <cacheField name="prop_stts_abbr" numFmtId="0">
      <sharedItems/>
    </cacheField>
    <cacheField name="natr_rqst_abbr" numFmtId="22">
      <sharedItems/>
    </cacheField>
    <cacheField name="rcom_istr_abbr" numFmtId="22">
      <sharedItems/>
    </cacheField>
    <cacheField name="budg_yr" numFmtId="0">
      <sharedItems containsSemiMixedTypes="0" containsString="0" containsNumber="1" containsInteger="1" minValue="2015" maxValue="2021" count="6">
        <n v="2015"/>
        <n v="2018" u="1"/>
        <n v="2019" u="1"/>
        <n v="2020" u="1"/>
        <n v="2021" u="1"/>
        <n v="2017" u="1"/>
      </sharedItems>
    </cacheField>
    <cacheField name="splt_id" numFmtId="22">
      <sharedItems/>
    </cacheField>
    <cacheField name="budg_splt_tot_dol" numFmtId="169">
      <sharedItems containsSemiMixedTypes="0" containsString="0" containsNumber="1" containsInteger="1" minValue="26214" maxValue="26214"/>
    </cacheField>
    <cacheField name="0" numFmtId="0">
      <sharedItems containsSemiMixedTypes="0" containsString="0" containsNumber="1" containsInteger="1" minValue="1" maxValue="1"/>
    </cacheField>
    <cacheField name="ILN" numFmtId="22">
      <sharedItems/>
    </cacheField>
    <cacheField name="lead" numFmtId="22">
      <sharedItems/>
    </cacheField>
    <cacheField name="eJ" numFmtId="22">
      <sharedItems/>
    </cacheField>
    <cacheField name="Div" numFmtId="22">
      <sharedItems/>
    </cacheField>
    <cacheField name="prop_id" numFmtId="22">
      <sharedItems containsBlank="1" count="24">
        <s v="1735569"/>
        <m u="1"/>
        <s v="1740776" u="1"/>
        <s v="1652257" u="1"/>
        <s v="1740796" u="1"/>
        <s v="1757781" u="1"/>
        <s v="1651838" u="1"/>
        <s v="1740822" u="1"/>
        <s v="1740850" u="1"/>
        <s v="1652303" u="1"/>
        <s v="1740833" u="1"/>
        <s v="1652491" u="1"/>
        <s v="1740741" u="1"/>
        <s v="1740751" u="1"/>
        <s v="1740761" u="1"/>
        <s v="1740855" u="1"/>
        <s v="1740762" u="1"/>
        <s v="1740707" u="1"/>
        <s v="1740735" u="1"/>
        <s v="1740858" u="1"/>
        <s v="1652862" u="1"/>
        <s v="1651861" u="1"/>
        <s v="1652218" u="1"/>
        <s v="1740551" u="1"/>
      </sharedItems>
    </cacheField>
    <cacheField name="pi_last_name" numFmtId="22">
      <sharedItems containsBlank="1" count="23">
        <s v="Peikert"/>
        <m u="1"/>
        <s v="Wrigh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acheField>
    <cacheField name="inst" numFmtId="22">
      <sharedItems/>
    </cacheField>
    <cacheField name="@ pi" numFmtId="22">
      <sharedItems/>
    </cacheField>
    <cacheField name="email" numFmtId="22">
      <sharedItems/>
    </cacheField>
    <cacheField name="propPRCs" numFmtId="22">
      <sharedItems/>
    </cacheField>
    <cacheField name="bPRCs" numFmtId="22">
      <sharedItems/>
    </cacheField>
    <cacheField name="awd_id" numFmtId="22">
      <sharedItems/>
    </cacheField>
    <cacheField name="prop_stts_txt" numFmtId="22">
      <sharedItems/>
    </cacheField>
    <cacheField name="prop_titl_txt" numFmtId="22">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76.608428009262" createdVersion="6" refreshedVersion="5" minRefreshableVersion="3" recordCount="22">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10-17T00:00: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ontainsBlank="1"/>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tring="0" containsBlank="1" containsNumber="1" containsInteger="1" minValue="0" maxValue="1"/>
    </cacheField>
    <cacheField name="RecRkMin" numFmtId="2">
      <sharedItems containsSemiMixedTypes="0" containsString="0" containsNumber="1" minValue="-0.99999998999999995" maxValue="99"/>
    </cacheField>
    <cacheField name="rec0" numFmtId="0">
      <sharedItems containsBlank="1"/>
    </cacheField>
    <cacheField name="rec1" numFmtId="0">
      <sharedItems containsBlank="1"/>
    </cacheField>
    <cacheField name="rec2" numFmtId="0">
      <sharedItems containsBlank="1"/>
    </cacheField>
    <cacheField name="RAtemplate" numFmtId="49">
      <sharedItems containsBlank="1" count="7">
        <s v="zztemplateFname RAt.docx"/>
        <s v="Awd RAt.docx"/>
        <s v="Decline RAt.docx"/>
        <m/>
        <s v="Std Decline RAt.docx"/>
        <s v="templateFilename_RAt.docx" u="1"/>
        <s v=" "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ontainsBlank="1"/>
    </cacheField>
    <cacheField name="Nrev" numFmtId="0">
      <sharedItems containsString="0" containsBlank="1" containsNumber="1" containsInteger="1" minValue="0" maxValue="4"/>
    </cacheField>
    <cacheField name="Nunmkd" numFmtId="0">
      <sharedItems containsString="0" containsBlank="1" containsNumber="1" containsInteger="1" minValue="0" maxValue="4"/>
    </cacheField>
    <cacheField name="Nunrlsbl" numFmtId="0">
      <sharedItems containsString="0" containsBlank="1" containsNumber="1" containsInteger="1" minValue="0" maxValue="0"/>
    </cacheField>
    <cacheField name="divergentReviews" numFmtId="0">
      <sharedItems/>
    </cacheField>
    <cacheField name="minScore" numFmtId="0">
      <sharedItems containsString="0" containsBlank="1" containsNumber="1" containsInteger="1" minValue="1" maxValue="7"/>
    </cacheField>
    <cacheField name="avg_score" numFmtId="2">
      <sharedItems containsString="0" containsBlank="1" containsNumber="1" minValue="3.75" maxValue="8"/>
    </cacheField>
    <cacheField name="maxScore" numFmtId="0">
      <sharedItems containsString="0" containsBlank="1" containsNumber="1" containsInteger="1" minValue="5" maxValue="9"/>
    </cacheField>
    <cacheField name="allReviews" numFmtId="0">
      <sharedItems containsBlank="1"/>
    </cacheField>
    <cacheField name="last_rev_date" numFmtId="165">
      <sharedItems containsNonDate="0" containsDate="1" containsString="0" containsBlank="1" minDate="2000-01-01T00:00:00" maxDate="2017-11-20T15:56:00"/>
    </cacheField>
    <cacheField name="rqst_tot" numFmtId="166">
      <sharedItems containsSemiMixedTypes="0" containsString="0" containsNumber="1" containsInteger="1" minValue="4800" maxValue="99999999"/>
    </cacheField>
    <cacheField name="budg_tot" numFmtId="166">
      <sharedItems containsSemiMixedTypes="0" containsString="0" containsNumber="1" containsInteger="1" minValue="4800"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1899-12-31T00:00:00" maxDate="2018-09-02T00:00:00"/>
    </cacheField>
    <cacheField name="rqst_mnth_cnt" numFmtId="0">
      <sharedItems containsSemiMixedTypes="0" containsString="0" containsNumber="1" containsInteger="1" minValue="0" maxValue="60"/>
    </cacheField>
    <cacheField name="prop_titl_txt" numFmtId="0">
      <sharedItems/>
    </cacheField>
    <cacheField name="AhNrev" numFmtId="0">
      <sharedItems containsString="0" containsBlank="1" containsNumber="1" containsInteger="1" minValue="0" maxValue="0"/>
    </cacheField>
    <cacheField name="AhRevs" numFmtId="0">
      <sharedItems containsBlank="1"/>
    </cacheField>
    <cacheField name="AhLast" numFmtId="165">
      <sharedItems containsNonDate="0" containsDate="1" containsString="0" containsBlank="1" minDate="2000-01-01T00:00:00" maxDate="2000-01-02T00:00:00"/>
    </cacheField>
    <cacheField name="panl_id0" numFmtId="0">
      <sharedItems containsBlank="1"/>
    </cacheField>
    <cacheField name="RCOM_TXT0" numFmtId="0">
      <sharedItems containsBlank="1"/>
    </cacheField>
    <cacheField name="rank0" numFmtId="0">
      <sharedItems containsString="0" containsBlank="1" containsNumber="1" containsInteger="1" minValue="1" maxValue="99"/>
    </cacheField>
    <cacheField name="panl_name0" numFmtId="0">
      <sharedItems containsBlank="1"/>
    </cacheField>
    <cacheField name="panl_end0" numFmtId="165">
      <sharedItems containsNonDate="0" containsDate="1" containsString="0" containsBlank="1" minDate="2000-01-01T00:00:00" maxDate="2017-11-22T00:00:00"/>
    </cacheField>
    <cacheField name="revs0" numFmtId="0">
      <sharedItems containsBlank="1"/>
    </cacheField>
    <cacheField name="PanlString0" numFmtId="0">
      <sharedItems containsBlank="1"/>
    </cacheField>
    <cacheField name="pnlst0" numFmtId="0">
      <sharedItems containsString="0" containsBlank="1" containsNumber="1" containsInteger="1" minValue="0" maxValue="14"/>
    </cacheField>
    <cacheField name="confl0" numFmtId="0">
      <sharedItems containsString="0" containsBlank="1" containsNumber="1" containsInteger="1" minValue="0" maxValue="3"/>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4800" maxValue="99999999"/>
    </cacheField>
    <cacheField name="b0tot" numFmtId="166">
      <sharedItems containsSemiMixedTypes="0" containsString="0" containsNumber="1" containsInteger="1" minValue="4800" maxValue="99999999"/>
    </cacheField>
    <cacheField name="PRC0" numFmtId="0">
      <sharedItems containsBlank="1"/>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26214" maxValue="99999999"/>
    </cacheField>
    <cacheField name="b1tot" numFmtId="166">
      <sharedItems containsString="0" containsBlank="1" containsNumber="1" containsInteger="1" minValue="52428"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99999999" maxValue="99999999"/>
    </cacheField>
    <cacheField name="b2tot" numFmtId="166">
      <sharedItems containsString="0" containsBlank="1" containsNumber="1" containsInteger="1" minValue="99999999"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ontainsBlank="1"/>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07T14:30:53"/>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d v="2017-02-08T00:00:00"/>
    <s v="TWC2011CAR"/>
    <s v="NSF 08-557"/>
    <s v="4110"/>
    <s v="4110"/>
    <s v="05010000"/>
    <s v="05010000"/>
    <s v="7796"/>
    <x v="0"/>
    <s v="JSNOEYI"/>
    <s v="JSNOEYI"/>
    <s v="PEND"/>
    <s v="TRSF"/>
    <s v="CONT"/>
    <x v="0"/>
    <s v="01"/>
    <n v="26214"/>
    <n v="1"/>
    <s v="I"/>
    <s v="1735569"/>
    <s v="eJ"/>
    <s v="CCF"/>
    <x v="0"/>
    <x v="0"/>
    <s v="Chris"/>
    <s v="University of Michigan"/>
    <s v="cpeikert@umich.edu"/>
    <s v="cpeikert@umich.edu"/>
    <s v="1045 1187 7795 7796 9218"/>
    <s v="1045 7927 9218 HPCC"/>
    <s v=""/>
    <s v="Pending, Assigned to PM"/>
    <s v="CAREER: Lattices in Cryptography"/>
  </r>
</pivotCacheRecords>
</file>

<file path=xl/pivotCache/pivotCacheRecords2.xml><?xml version="1.0" encoding="utf-8"?>
<pivotCacheRecords xmlns="http://schemas.openxmlformats.org/spreadsheetml/2006/main" xmlns:r="http://schemas.openxmlformats.org/officeDocument/2006/relationships" count="22">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7-17T19:41:00"/>
    <s v="NSF 17-537"/>
    <s v="05010000"/>
    <s v="7796"/>
    <s v="NEW"/>
    <s v="PEND"/>
    <s v="4110"/>
    <s v="CAR17-18"/>
    <s v="JSNOEYI"/>
    <m/>
    <n v="1"/>
    <n v="1.01"/>
    <s v="HC"/>
    <m/>
    <m/>
    <x v="1"/>
    <s v="Awd  1749609 Lee"/>
    <m/>
    <m/>
    <s v="Jack Snoeyink"/>
    <s v="Cognizant Program Director"/>
    <s v="eJ"/>
    <s v="yintat@uw.edu"/>
    <s v="PIs@"/>
    <s v="CCF"/>
    <s v="1749609"/>
    <n v="4"/>
    <n v="4"/>
    <m/>
    <s v=""/>
    <n v="6"/>
    <n v="8"/>
    <n v="9"/>
    <s v="E,E,E/V,V/G"/>
    <d v="2017-10-23T09:01:00"/>
    <n v="549841"/>
    <n v="549841"/>
    <n v="0"/>
    <d v="2018-03-16T00:00:00"/>
    <n v="60"/>
    <s v="CAREER: The Interplay between Combinatorial Optimization and Algorithmic Convex Geometry"/>
    <m/>
    <m/>
    <m/>
    <s v="P180207"/>
    <s v="Highly Competitive"/>
    <n v="1"/>
    <s v="AF CAREER/CRII Panel A"/>
    <d v="2017-10-24T00:00:00"/>
    <s v=" E,E,E/V,V/G"/>
    <s v="31 rated projects: 3 HC, 12 C, 10 LC, 6 NC"/>
    <n v="14"/>
    <n v="3"/>
    <m/>
    <m/>
    <m/>
    <m/>
    <m/>
    <m/>
    <m/>
    <m/>
    <m/>
    <m/>
    <m/>
    <m/>
    <m/>
    <m/>
    <m/>
    <m/>
    <m/>
    <m/>
    <s v="1749609"/>
    <s v="Lee"/>
    <s v="Yin Tat"/>
    <s v="U of Washington"/>
    <n v="549841"/>
    <n v="549841"/>
    <s v="1045 7926"/>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yintat@uw.edu"/>
    <s v="yintat@uw.edu      "/>
  </r>
  <r>
    <m/>
    <d v="2017-08-09T14:55:00"/>
    <s v="NSF 17-552"/>
    <s v="05010000"/>
    <s v="026Y"/>
    <s v="NEW"/>
    <s v="PEND"/>
    <s v="4110"/>
    <s v="FY18CRII"/>
    <s v="TKIMBRE"/>
    <m/>
    <n v="1"/>
    <n v="2.02"/>
    <s v="C"/>
    <m/>
    <m/>
    <x v="2"/>
    <s v="Decline  1755847 Sun"/>
    <m/>
    <m/>
    <s v="Tracy J. Kimbrel"/>
    <s v="Cognizant Program Director"/>
    <s v="eJ"/>
    <s v="ruoyus@illinois.edu"/>
    <s v="PIs@"/>
    <s v="CCF"/>
    <s v="1755847"/>
    <n v="3"/>
    <n v="3"/>
    <m/>
    <s v=""/>
    <n v="6"/>
    <n v="6.333333333333333"/>
    <n v="7"/>
    <s v="V,V/G,V/G"/>
    <d v="2017-10-23T18:25:00"/>
    <n v="175000"/>
    <n v="175000"/>
    <n v="0"/>
    <d v="2018-07-01T00:00:00"/>
    <n v="24"/>
    <s v="CRII: AF: Towards Faster Algorithms for Large-scale Constrained Optimization"/>
    <m/>
    <m/>
    <m/>
    <s v="P180207"/>
    <s v="Competitive"/>
    <n v="2"/>
    <s v="AF CAREER/CRII Panel A"/>
    <d v="2017-10-24T00:00:00"/>
    <s v=" V,V/G,V/G"/>
    <s v="31 rated projects: 3 HC, 12 C, 10 LC, 6 NC"/>
    <n v="14"/>
    <n v="2"/>
    <m/>
    <m/>
    <m/>
    <m/>
    <m/>
    <m/>
    <m/>
    <m/>
    <m/>
    <m/>
    <m/>
    <m/>
    <m/>
    <m/>
    <m/>
    <m/>
    <m/>
    <m/>
    <s v="1755847"/>
    <s v="Sun"/>
    <s v="Ruoyu"/>
    <s v="U of Ill Urbana-Champaign"/>
    <n v="175000"/>
    <n v="175000"/>
    <s v="7933 8228"/>
    <m/>
    <m/>
    <m/>
    <m/>
    <m/>
    <m/>
    <m/>
    <m/>
    <m/>
    <m/>
    <m/>
    <m/>
    <m/>
    <m/>
    <m/>
    <m/>
    <m/>
    <m/>
    <m/>
    <m/>
    <m/>
    <m/>
    <m/>
    <m/>
    <m/>
    <m/>
    <m/>
    <m/>
    <m/>
    <m/>
    <m/>
    <m/>
    <m/>
    <m/>
    <m/>
    <m/>
    <m/>
    <m/>
    <m/>
    <m/>
    <m/>
    <m/>
    <s v="Computer and Information Science and Engineering (CISE) Research Initiation Initiative"/>
    <s v="Division of Computing and Communication Foundations"/>
    <s v="CRII CISE Research Initiation"/>
    <s v="Tracy J. Kimbrel"/>
    <s v="Pending, Review Package Produced"/>
    <s v="New Project"/>
    <s v="Research Grants-Not Elsewh Cla"/>
    <s v="CSE"/>
    <s v="Direct For Computer &amp; Info Scie &amp; Enginr"/>
    <d v="2017-12-07T14:30:53"/>
    <s v="ruoyus@illinois.edu"/>
    <s v="ruoyus@illinois.edu      "/>
  </r>
  <r>
    <m/>
    <d v="2017-07-17T17:08:00"/>
    <s v="NSF 17-537"/>
    <s v="05010000"/>
    <s v="7796"/>
    <s v="NEW"/>
    <s v="PEND"/>
    <s v="4110"/>
    <s v="CAR17-18"/>
    <s v="JSNOEYI"/>
    <m/>
    <n v="1"/>
    <n v="2.0299999999999998"/>
    <s v="C"/>
    <m/>
    <m/>
    <x v="3"/>
    <s v="RA 1749563 Del Pia"/>
    <m/>
    <m/>
    <s v="Jack Snoeyink"/>
    <s v="Cognizant Program Director"/>
    <s v="eJ"/>
    <s v="delpia@wisc.edu"/>
    <s v="PIs@"/>
    <s v="CCF"/>
    <s v="1749563"/>
    <n v="4"/>
    <n v="4"/>
    <m/>
    <s v=""/>
    <n v="6"/>
    <n v="7"/>
    <n v="8"/>
    <s v="E/V,V,V,V/G"/>
    <d v="2017-10-23T14:01:00"/>
    <n v="500000"/>
    <n v="500000"/>
    <n v="0"/>
    <d v="2018-09-01T00:00:00"/>
    <n v="60"/>
    <s v="CAREER: Mixed-Integer Quadratic Optimization: Algorithms and Complexity"/>
    <m/>
    <m/>
    <m/>
    <s v="P180207"/>
    <s v="Competitive"/>
    <n v="3"/>
    <s v="AF CAREER/CRII Panel A"/>
    <d v="2017-10-24T00:00:00"/>
    <s v=" E/V,V,V,V/G"/>
    <s v="31 rated projects: 3 HC, 12 C, 10 LC, 6 NC"/>
    <n v="14"/>
    <n v="0"/>
    <m/>
    <m/>
    <m/>
    <m/>
    <m/>
    <m/>
    <m/>
    <m/>
    <m/>
    <m/>
    <m/>
    <m/>
    <m/>
    <m/>
    <m/>
    <m/>
    <m/>
    <m/>
    <s v="1749563"/>
    <s v="Del Pia"/>
    <s v="Alberto"/>
    <s v="U of Wisconsin Madison"/>
    <n v="500000"/>
    <n v="500000"/>
    <s v="1045 7926"/>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delpia@wisc.edu"/>
    <s v="delpia@wisc.edu      "/>
  </r>
  <r>
    <m/>
    <d v="2017-07-18T15:01:00"/>
    <s v="NSF 17-537"/>
    <s v="05010000"/>
    <s v="7796"/>
    <s v="NEW"/>
    <s v="PEND"/>
    <s v="4110"/>
    <s v="CAR17-18"/>
    <s v="JSNOEYI"/>
    <m/>
    <n v="1"/>
    <n v="2.04"/>
    <s v="C"/>
    <m/>
    <m/>
    <x v="2"/>
    <s v="Decline  1749855 Orabona"/>
    <m/>
    <m/>
    <s v="Jack Snoeyink"/>
    <s v="Cognizant Program Director"/>
    <s v="eJ"/>
    <s v="francesco@cs.stonybrook.edu"/>
    <s v="PIs@"/>
    <s v="CCF"/>
    <s v="1749855"/>
    <n v="4"/>
    <n v="4"/>
    <m/>
    <s v=""/>
    <n v="7"/>
    <n v="8"/>
    <n v="9"/>
    <s v="E,E,V,V"/>
    <d v="2017-11-20T15:56:00"/>
    <n v="516750"/>
    <n v="516750"/>
    <n v="0"/>
    <d v="2018-01-01T00:00:00"/>
    <n v="60"/>
    <s v="CAREER: Hyperparameter-free Algorithms for Machine Learning"/>
    <m/>
    <m/>
    <m/>
    <s v="P180209"/>
    <s v="Competitive"/>
    <n v="4"/>
    <s v="AF CAREER/CRII Panel B"/>
    <d v="2017-11-21T00:00:00"/>
    <s v=" E,E,V,V"/>
    <s v="29 rated projects: 5 HC, 9 C, 11 LC, 4 NC"/>
    <n v="12"/>
    <n v="0"/>
    <m/>
    <m/>
    <m/>
    <m/>
    <m/>
    <m/>
    <m/>
    <m/>
    <m/>
    <m/>
    <m/>
    <m/>
    <m/>
    <m/>
    <m/>
    <m/>
    <m/>
    <m/>
    <s v="1749855"/>
    <s v="Orabona"/>
    <s v=" Francesco"/>
    <s v="SUNY Stony Brook"/>
    <n v="516750"/>
    <n v="516750"/>
    <s v="1045 7926"/>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francesco@cs.stonybrook.edu"/>
    <s v="francesco@cs.stonybrook.edu      "/>
  </r>
  <r>
    <m/>
    <d v="2017-07-18T12:35:00"/>
    <s v="NSF 17-537"/>
    <s v="05010000"/>
    <s v="7796"/>
    <s v="NEW"/>
    <s v="PEND"/>
    <s v="4110"/>
    <s v="CAR17-18"/>
    <s v="TKIMBRE"/>
    <m/>
    <n v="1"/>
    <n v="2.06"/>
    <s v="C"/>
    <m/>
    <m/>
    <x v="2"/>
    <s v="Decline  1749748 Chandrasekaran"/>
    <m/>
    <m/>
    <s v="Tracy J. Kimbrel"/>
    <s v="Cognizant Program Director"/>
    <s v="eJ"/>
    <s v="karthe@illinois.edu"/>
    <s v="PIs@"/>
    <s v="CCF"/>
    <s v="1749748"/>
    <n v="4"/>
    <n v="4"/>
    <m/>
    <s v=""/>
    <n v="5"/>
    <n v="6.75"/>
    <n v="8"/>
    <s v="E/V,V,V,G"/>
    <d v="2017-10-22T17:21:00"/>
    <n v="446040"/>
    <n v="446040"/>
    <n v="0"/>
    <d v="2018-01-15T00:00:00"/>
    <n v="60"/>
    <s v="CAREER: Frontiers in the Algorithmic Theory of Cutting Planes"/>
    <m/>
    <m/>
    <m/>
    <s v="P180207"/>
    <s v="Competitive"/>
    <n v="6"/>
    <s v="AF CAREER/CRII Panel A"/>
    <d v="2017-10-24T00:00:00"/>
    <s v=" E/V,V,V,G"/>
    <s v="31 rated projects: 3 HC, 12 C, 10 LC, 6 NC"/>
    <n v="14"/>
    <n v="2"/>
    <m/>
    <m/>
    <m/>
    <m/>
    <m/>
    <m/>
    <m/>
    <m/>
    <m/>
    <m/>
    <m/>
    <m/>
    <m/>
    <m/>
    <m/>
    <m/>
    <m/>
    <m/>
    <s v="1749748"/>
    <s v="Chandrasekaran"/>
    <s v="Karthekeyan"/>
    <s v="U of Ill Urbana-Champaign"/>
    <n v="446040"/>
    <n v="446040"/>
    <s v="1045 7926"/>
    <m/>
    <m/>
    <m/>
    <m/>
    <m/>
    <m/>
    <m/>
    <m/>
    <m/>
    <m/>
    <m/>
    <m/>
    <m/>
    <m/>
    <m/>
    <m/>
    <m/>
    <m/>
    <m/>
    <m/>
    <m/>
    <m/>
    <m/>
    <m/>
    <m/>
    <m/>
    <m/>
    <m/>
    <m/>
    <m/>
    <m/>
    <m/>
    <m/>
    <m/>
    <m/>
    <m/>
    <m/>
    <m/>
    <m/>
    <m/>
    <m/>
    <m/>
    <s v="Faculty Early Career Development Program"/>
    <s v="Division of Computing and Communication Foundations"/>
    <s v="ALGORITHMIC FOUNDATIONS"/>
    <s v="Tracy J. Kimbrel"/>
    <s v="Pending, Review Package Produced"/>
    <s v="New Project"/>
    <s v="Research Grants-Not Elsewh Cla"/>
    <s v="CSE"/>
    <s v="Direct For Computer &amp; Info Scie &amp; Enginr"/>
    <d v="2017-12-07T14:30:53"/>
    <s v="karthe@illinois.edu"/>
    <s v="karthe@illinois.edu      "/>
  </r>
  <r>
    <m/>
    <d v="2017-07-19T15:12:00"/>
    <s v="NSF 17-537"/>
    <s v="05010000"/>
    <s v="7796"/>
    <s v="NEW"/>
    <s v="PEND"/>
    <s v="4110"/>
    <s v="CAR17-18"/>
    <s v="JSNOEYI"/>
    <m/>
    <n v="1"/>
    <n v="2.0699999999999998"/>
    <s v="C"/>
    <m/>
    <m/>
    <x v="1"/>
    <s v="Awd  1750780 Raichel"/>
    <m/>
    <m/>
    <s v="Jack Snoeyink"/>
    <s v="Cognizant Program Director"/>
    <s v="eJ"/>
    <s v="Benjamin.Raichel@utdallas.edu"/>
    <s v="PIs@"/>
    <s v="CCF"/>
    <s v="1750780"/>
    <n v="4"/>
    <n v="4"/>
    <m/>
    <s v=""/>
    <n v="7"/>
    <n v="7.5"/>
    <n v="9"/>
    <s v="E,V,V,V"/>
    <d v="2017-10-22T04:21:00"/>
    <n v="582785"/>
    <n v="582785"/>
    <n v="0"/>
    <d v="2018-09-01T00:00:00"/>
    <n v="60"/>
    <s v="CAREER:  AF: Giving Form to Data with a Geometric Scaffold"/>
    <m/>
    <m/>
    <m/>
    <s v="P180207"/>
    <s v="Competitive"/>
    <n v="7"/>
    <s v="AF CAREER/CRII Panel A"/>
    <d v="2017-10-24T00:00:00"/>
    <s v=" E,V,V,V"/>
    <s v="31 rated projects: 3 HC, 12 C, 10 LC, 6 NC"/>
    <n v="14"/>
    <n v="1"/>
    <m/>
    <m/>
    <m/>
    <m/>
    <m/>
    <m/>
    <m/>
    <m/>
    <m/>
    <m/>
    <m/>
    <m/>
    <m/>
    <m/>
    <m/>
    <m/>
    <m/>
    <m/>
    <s v="1750780"/>
    <s v="Raichel"/>
    <s v="Benjamin"/>
    <s v="U of Texas Dallas"/>
    <n v="582785"/>
    <n v="582785"/>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Benjamin.Raichel@utdallas.edu"/>
    <s v="Benjamin.Raichel@utdallas.edu      "/>
  </r>
  <r>
    <m/>
    <d v="2017-07-19T16:43:00"/>
    <s v="NSF 17-537"/>
    <s v="05010000"/>
    <s v="7796"/>
    <s v="NEW"/>
    <s v="PEND"/>
    <s v="4110"/>
    <s v="CAR17-18"/>
    <s v="JSNOEYI"/>
    <m/>
    <n v="1"/>
    <n v="2.1"/>
    <s v="C"/>
    <m/>
    <m/>
    <x v="2"/>
    <s v="Decline  1751135 Nayyeri"/>
    <m/>
    <m/>
    <s v="Jack Snoeyink"/>
    <s v="Cognizant Program Director"/>
    <s v="eJ"/>
    <s v="nayyeria@eecs.oregonstate.edu"/>
    <s v="PIs@"/>
    <s v="CCF"/>
    <s v="1751135"/>
    <n v="4"/>
    <n v="4"/>
    <m/>
    <s v=""/>
    <n v="6"/>
    <n v="6.75"/>
    <n v="7"/>
    <s v="V,V,V,V/G"/>
    <d v="2017-10-23T16:34:00"/>
    <n v="607459"/>
    <n v="607459"/>
    <n v="0"/>
    <d v="2018-09-01T00:00:00"/>
    <n v="60"/>
    <s v="CAREER: Mapping Problems in Computational Geometry and Topology"/>
    <m/>
    <m/>
    <m/>
    <s v="P180207"/>
    <s v="Competitive"/>
    <n v="10"/>
    <s v="AF CAREER/CRII Panel A"/>
    <d v="2017-10-24T00:00:00"/>
    <s v=" V,V,V,V/G"/>
    <s v="31 rated projects: 3 HC, 12 C, 10 LC, 6 NC"/>
    <n v="14"/>
    <n v="2"/>
    <m/>
    <m/>
    <m/>
    <m/>
    <m/>
    <m/>
    <m/>
    <m/>
    <m/>
    <m/>
    <m/>
    <m/>
    <m/>
    <m/>
    <m/>
    <m/>
    <m/>
    <m/>
    <s v="1751135"/>
    <s v="Nayyeri"/>
    <s v="Amir"/>
    <s v="Oregon State University"/>
    <n v="607459"/>
    <n v="607459"/>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nayyeria@eecs.oregonstate.edu"/>
    <s v="nayyeria@eecs.oregonstate.edu      "/>
  </r>
  <r>
    <m/>
    <d v="2017-07-19T16:34:00"/>
    <s v="NSF 17-537"/>
    <s v="05010000"/>
    <s v="7796"/>
    <s v="NEW"/>
    <s v="PEND"/>
    <s v="4110"/>
    <s v="CAR17-18"/>
    <s v="JSNOEYI"/>
    <m/>
    <n v="1"/>
    <n v="2.12"/>
    <s v="C"/>
    <m/>
    <m/>
    <x v="2"/>
    <s v="Decline  1751102 Vouga"/>
    <m/>
    <m/>
    <s v="Jack Snoeyink"/>
    <s v="Cognizant Program Director"/>
    <s v="eJ"/>
    <s v="evouga@cs.utexas.edu"/>
    <s v="PIs@"/>
    <s v="CCF"/>
    <s v="1751102"/>
    <n v="4"/>
    <n v="4"/>
    <m/>
    <s v=""/>
    <n v="5"/>
    <n v="6.5"/>
    <n v="7"/>
    <s v="V,V,V,G"/>
    <d v="2017-10-23T09:25:00"/>
    <n v="523537"/>
    <n v="523537"/>
    <n v="0"/>
    <d v="2018-09-01T00:00:00"/>
    <n v="60"/>
    <s v="CAREER: Simulation and Design of Thin Objects Using Discrete Differential Geometry Algorithms"/>
    <m/>
    <m/>
    <m/>
    <s v="P180207"/>
    <s v="Competitive"/>
    <n v="12"/>
    <s v="AF CAREER/CRII Panel A"/>
    <d v="2017-10-24T00:00:00"/>
    <s v=" V,V,V,G"/>
    <s v="31 rated projects: 3 HC, 12 C, 10 LC, 6 NC"/>
    <n v="14"/>
    <n v="0"/>
    <m/>
    <m/>
    <m/>
    <m/>
    <m/>
    <m/>
    <m/>
    <m/>
    <m/>
    <m/>
    <m/>
    <m/>
    <m/>
    <m/>
    <m/>
    <m/>
    <m/>
    <m/>
    <s v="1751102"/>
    <s v="Vouga"/>
    <s v="Paul"/>
    <s v="U of Texas Austin"/>
    <n v="523537"/>
    <n v="523537"/>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evouga@cs.utexas.edu"/>
    <s v="evouga@cs.utexas.edu      "/>
  </r>
  <r>
    <m/>
    <d v="2017-08-09T11:20:00"/>
    <s v="NSF 17-552"/>
    <s v="05010000"/>
    <s v="026Y"/>
    <s v="NEW"/>
    <s v="PEND"/>
    <s v="4110"/>
    <s v="FY18CRII"/>
    <s v="JSNOEYI"/>
    <m/>
    <n v="1"/>
    <n v="3.04"/>
    <s v="LC"/>
    <m/>
    <m/>
    <x v="2"/>
    <s v="Decline  1755702 Charkhgard"/>
    <m/>
    <m/>
    <s v="Jack Snoeyink"/>
    <s v="Cognizant Program Director"/>
    <s v="eJ"/>
    <s v="hcharkhgard@usf.edu"/>
    <s v="PIs@"/>
    <s v="CCF"/>
    <s v="1755702"/>
    <n v="3"/>
    <n v="3"/>
    <m/>
    <s v=""/>
    <n v="5"/>
    <n v="5"/>
    <n v="5"/>
    <s v="G,G,G"/>
    <d v="2017-10-23T18:30:00"/>
    <n v="172682"/>
    <n v="172682"/>
    <n v="0"/>
    <d v="2018-05-01T00:00:00"/>
    <n v="24"/>
    <s v="CRII: AF: Theory and Algorithms for Two Classes of Optimization Problems: Multi-objective Binary Linear Programs and Single-objective Maximum Multiplicative Programs"/>
    <m/>
    <m/>
    <m/>
    <s v="P180207"/>
    <s v="Low Competitive"/>
    <n v="4"/>
    <s v="AF CAREER/CRII Panel A"/>
    <d v="2017-10-24T00:00:00"/>
    <s v=" G,G,G"/>
    <s v="31 rated projects: 3 HC, 12 C, 10 LC, 6 NC"/>
    <n v="14"/>
    <n v="0"/>
    <m/>
    <m/>
    <m/>
    <m/>
    <m/>
    <m/>
    <m/>
    <m/>
    <m/>
    <m/>
    <m/>
    <m/>
    <m/>
    <m/>
    <m/>
    <m/>
    <m/>
    <m/>
    <s v="1755702"/>
    <s v="Charkhgard"/>
    <s v="Hadi"/>
    <s v="U of South Florida"/>
    <n v="172682"/>
    <n v="172682"/>
    <s v="7926 8228"/>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7T14:30:53"/>
    <s v="hcharkhgard@usf.edu"/>
    <s v="hcharkhgard@usf.edu      "/>
  </r>
  <r>
    <m/>
    <d v="2017-07-17T13:08:00"/>
    <s v="NSF 17-537"/>
    <s v="05010000"/>
    <s v="7796"/>
    <s v="NEW"/>
    <s v="PEND"/>
    <s v="4110"/>
    <s v="CAR17-18"/>
    <s v="JSNOEYI"/>
    <m/>
    <n v="1"/>
    <n v="3.13"/>
    <s v="LC"/>
    <m/>
    <m/>
    <x v="2"/>
    <s v="Decline  1749385 Wang"/>
    <m/>
    <m/>
    <s v="Jack Snoeyink"/>
    <s v="Cognizant Program Director"/>
    <s v="eJ"/>
    <s v="haitao.wang@usu.edu"/>
    <s v="PIs@"/>
    <s v="CCF"/>
    <s v="1749385"/>
    <n v="4"/>
    <n v="4"/>
    <m/>
    <s v="Y"/>
    <n v="4"/>
    <n v="6.25"/>
    <n v="9"/>
    <s v="E,V,G,G/F"/>
    <d v="2017-10-22T04:18:00"/>
    <n v="524898"/>
    <n v="524898"/>
    <n v="0"/>
    <d v="2018-05-01T00:00:00"/>
    <n v="60"/>
    <s v="CAREER: Algorithms for Shortest Paths and Related Problems in Computational Geometry"/>
    <m/>
    <m/>
    <m/>
    <s v="P180207"/>
    <s v="Low Competitive"/>
    <n v="13"/>
    <s v="AF CAREER/CRII Panel A"/>
    <d v="2017-10-24T00:00:00"/>
    <s v=" E,V,G,G/F"/>
    <s v="31 rated projects: 3 HC, 12 C, 10 LC, 6 NC"/>
    <n v="14"/>
    <n v="0"/>
    <m/>
    <m/>
    <m/>
    <m/>
    <m/>
    <m/>
    <m/>
    <m/>
    <m/>
    <m/>
    <m/>
    <m/>
    <m/>
    <m/>
    <m/>
    <m/>
    <m/>
    <m/>
    <s v="1749385"/>
    <s v="Wang"/>
    <s v="Haitao"/>
    <s v="Utah State University"/>
    <n v="524898"/>
    <n v="524898"/>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haitao.wang@usu.edu"/>
    <s v="haitao.wang@usu.edu      "/>
  </r>
  <r>
    <m/>
    <d v="2017-07-18T16:41:00"/>
    <s v="NSF 17-537"/>
    <s v="05010000"/>
    <s v="7796"/>
    <s v="NEW"/>
    <s v="PEND"/>
    <s v="4110"/>
    <s v="CAR17-18"/>
    <s v="JSNOEYI"/>
    <m/>
    <n v="1"/>
    <n v="3.13"/>
    <s v="LC"/>
    <m/>
    <m/>
    <x v="2"/>
    <s v="Decline  1749977 Solomon"/>
    <m/>
    <m/>
    <s v="Jack Snoeyink"/>
    <s v="Cognizant Program Director"/>
    <s v="eJ"/>
    <s v="jsolomon@mit.edu"/>
    <s v="PIs@"/>
    <s v="CCF"/>
    <s v="1749977"/>
    <n v="4"/>
    <n v="4"/>
    <m/>
    <s v="Y"/>
    <n v="3"/>
    <n v="6.25"/>
    <n v="9"/>
    <s v="E,V,V/G,F"/>
    <d v="2017-10-22T23:20:00"/>
    <n v="550000"/>
    <n v="550000"/>
    <n v="0"/>
    <d v="2018-01-01T00:00:00"/>
    <n v="60"/>
    <s v="CAREER: Structured Optimization for Geometric Problems"/>
    <m/>
    <m/>
    <m/>
    <s v="P180207"/>
    <s v="Low Competitive"/>
    <n v="13"/>
    <s v="AF CAREER/CRII Panel A"/>
    <d v="2017-10-24T00:00:00"/>
    <s v=" E,V,V/G,F"/>
    <s v="31 rated projects: 3 HC, 12 C, 10 LC, 6 NC"/>
    <n v="14"/>
    <n v="2"/>
    <m/>
    <m/>
    <m/>
    <m/>
    <m/>
    <m/>
    <m/>
    <m/>
    <m/>
    <m/>
    <m/>
    <m/>
    <m/>
    <m/>
    <m/>
    <m/>
    <m/>
    <m/>
    <s v="1749977"/>
    <s v="Solomon"/>
    <s v="Justin"/>
    <s v="MIT"/>
    <n v="550000"/>
    <n v="550000"/>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jsolomon@mit.edu"/>
    <s v="jsolomon@mit.edu      "/>
  </r>
  <r>
    <m/>
    <d v="2017-07-18T17:42:00"/>
    <s v="NSF 17-537"/>
    <s v="05010000"/>
    <s v="7796"/>
    <s v="NEW"/>
    <s v="PEND"/>
    <s v="4110"/>
    <s v="CAR17-18"/>
    <s v="TKIMBRE"/>
    <m/>
    <n v="1"/>
    <n v="3.13"/>
    <s v="LC"/>
    <m/>
    <m/>
    <x v="2"/>
    <s v="Decline  1750039 Solomonik"/>
    <m/>
    <m/>
    <s v="Tracy J. Kimbrel"/>
    <s v="Cognizant Program Director"/>
    <s v="eJ"/>
    <s v="solomon2@illinois.edu"/>
    <s v="PIs@"/>
    <s v="CCF"/>
    <s v="1750039"/>
    <n v="4"/>
    <n v="4"/>
    <m/>
    <s v=""/>
    <n v="3"/>
    <n v="4.5"/>
    <n v="5"/>
    <s v="G,G,G,F"/>
    <d v="2017-10-23T22:08:00"/>
    <n v="524117"/>
    <n v="524117"/>
    <n v="0"/>
    <d v="2018-02-01T00:00:00"/>
    <n v="60"/>
    <s v="CAREER: Scalable algorithms for tensor networks"/>
    <m/>
    <m/>
    <m/>
    <s v="P180207"/>
    <s v="Low Competitive"/>
    <n v="13"/>
    <s v="AF CAREER/CRII Panel A"/>
    <d v="2017-10-24T00:00:00"/>
    <s v=" G,G,G,F"/>
    <s v="31 rated projects: 3 HC, 12 C, 10 LC, 6 NC"/>
    <n v="14"/>
    <n v="2"/>
    <m/>
    <m/>
    <m/>
    <m/>
    <m/>
    <m/>
    <m/>
    <m/>
    <m/>
    <m/>
    <m/>
    <m/>
    <m/>
    <m/>
    <m/>
    <m/>
    <m/>
    <m/>
    <s v="1750039"/>
    <s v="Solomonik"/>
    <s v="Edgar"/>
    <s v="U of Ill Urbana-Champaign"/>
    <n v="524117"/>
    <n v="524117"/>
    <s v="1045 7934"/>
    <m/>
    <m/>
    <m/>
    <m/>
    <m/>
    <m/>
    <m/>
    <m/>
    <m/>
    <m/>
    <m/>
    <m/>
    <m/>
    <m/>
    <m/>
    <m/>
    <m/>
    <m/>
    <m/>
    <m/>
    <m/>
    <m/>
    <m/>
    <m/>
    <m/>
    <m/>
    <m/>
    <m/>
    <m/>
    <m/>
    <m/>
    <m/>
    <m/>
    <m/>
    <m/>
    <m/>
    <m/>
    <m/>
    <m/>
    <m/>
    <m/>
    <m/>
    <s v="Faculty Early Career Development Program"/>
    <s v="Division of Computing and Communication Foundations"/>
    <s v="ALGORITHMIC FOUNDATIONS"/>
    <s v="Tracy J. Kimbrel"/>
    <s v="Pending, Review Package Produced"/>
    <s v="New Project"/>
    <s v="Research Grants-Not Elsewh Cla"/>
    <s v="CSE"/>
    <s v="Direct For Computer &amp; Info Scie &amp; Enginr"/>
    <d v="2017-12-07T14:30:53"/>
    <s v="solomon2@illinois.edu"/>
    <s v="solomon2@illinois.edu      "/>
  </r>
  <r>
    <m/>
    <d v="2017-07-19T16:20:00"/>
    <s v="NSF 17-537"/>
    <s v="05010000"/>
    <s v="7796"/>
    <s v="NEW"/>
    <s v="PEND"/>
    <s v="4110"/>
    <s v="CAR17-18"/>
    <s v="JSNOEYI"/>
    <m/>
    <n v="1"/>
    <n v="3.13"/>
    <s v="LC"/>
    <m/>
    <m/>
    <x v="2"/>
    <s v="Decline  1751047 Gibson"/>
    <m/>
    <m/>
    <s v="Jack Snoeyink"/>
    <s v="Cognizant Program Director"/>
    <s v="eJ"/>
    <s v="MATTHEW.GIBSON@UTSA.EDU"/>
    <s v="PIs@"/>
    <s v="CCF"/>
    <s v="1751047"/>
    <n v="4"/>
    <n v="4"/>
    <m/>
    <s v=""/>
    <n v="3"/>
    <n v="4.75"/>
    <n v="7"/>
    <s v="V,G,G/F,F"/>
    <d v="2017-10-22T04:16:00"/>
    <n v="415497"/>
    <n v="415497"/>
    <n v="0"/>
    <d v="2018-02-01T00:00:00"/>
    <n v="60"/>
    <s v="CAREER: A Modern Look at Visibility Problems"/>
    <m/>
    <m/>
    <m/>
    <s v="P180207"/>
    <s v="Low Competitive"/>
    <n v="13"/>
    <s v="AF CAREER/CRII Panel A"/>
    <d v="2017-10-24T00:00:00"/>
    <s v=" V,G,G/F,F"/>
    <s v="31 rated projects: 3 HC, 12 C, 10 LC, 6 NC"/>
    <n v="14"/>
    <n v="0"/>
    <m/>
    <m/>
    <m/>
    <m/>
    <m/>
    <m/>
    <m/>
    <m/>
    <m/>
    <m/>
    <m/>
    <m/>
    <m/>
    <m/>
    <m/>
    <m/>
    <m/>
    <m/>
    <s v="1751047"/>
    <s v="Gibson"/>
    <s v="Matthew"/>
    <s v="U of Texas San Antonio"/>
    <n v="415497"/>
    <n v="415497"/>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MATTHEW.GIBSON@UTSA.EDU"/>
    <s v="MATTHEW.GIBSON@UTSA.EDU      "/>
  </r>
  <r>
    <m/>
    <d v="2017-08-09T15:33:00"/>
    <s v="NSF 17-552"/>
    <s v="05010000"/>
    <s v="026Y"/>
    <s v="NEW"/>
    <s v="PEND"/>
    <s v="4110"/>
    <s v="FY18CRII"/>
    <s v="JSNOEYI"/>
    <m/>
    <n v="1"/>
    <n v="4.05"/>
    <s v="NC"/>
    <m/>
    <m/>
    <x v="2"/>
    <s v="Decline  1755881 San"/>
    <m/>
    <m/>
    <s v="Jack Snoeyink"/>
    <s v="Cognizant Program Director"/>
    <s v="eJ"/>
    <s v="osan@okstate.edu"/>
    <s v="PIs@"/>
    <s v="CCF"/>
    <s v="1755881"/>
    <n v="3"/>
    <n v="3"/>
    <m/>
    <s v="Y"/>
    <n v="3"/>
    <n v="5.333333333333333"/>
    <n v="8"/>
    <s v="E/V,G,F"/>
    <d v="2017-10-23T17:48:00"/>
    <n v="170144"/>
    <n v="170144"/>
    <n v="0"/>
    <d v="2018-06-01T00:00:00"/>
    <n v="24"/>
    <s v="CRII: AF: Generalized Deconvolution Algorithms for Coarse-Grained Simulations of Nonlinear Multiscale Systems"/>
    <m/>
    <m/>
    <m/>
    <s v="P180207"/>
    <s v="Not Competitive"/>
    <n v="5"/>
    <s v="AF CAREER/CRII Panel A"/>
    <d v="2017-10-24T00:00:00"/>
    <s v=" E/V,G,F"/>
    <s v="31 rated projects: 3 HC, 12 C, 10 LC, 6 NC"/>
    <n v="14"/>
    <n v="0"/>
    <m/>
    <m/>
    <m/>
    <m/>
    <m/>
    <m/>
    <m/>
    <m/>
    <m/>
    <m/>
    <m/>
    <m/>
    <m/>
    <m/>
    <m/>
    <m/>
    <m/>
    <m/>
    <s v="1755881"/>
    <s v="San"/>
    <s v="Omer"/>
    <s v="Oklahoma State University"/>
    <n v="170144"/>
    <n v="170144"/>
    <s v="7933 8228 9150"/>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7T14:30:53"/>
    <s v="osan@okstate.edu"/>
    <s v="osan@okstate.edu      "/>
  </r>
  <r>
    <m/>
    <d v="2017-08-09T16:44:00"/>
    <s v="NSF 17-552"/>
    <s v="05010000"/>
    <s v="026Y"/>
    <s v="NEW"/>
    <s v="PEND"/>
    <s v="4110"/>
    <s v="FY18CRII"/>
    <s v="JSNOEYI"/>
    <m/>
    <n v="1"/>
    <n v="4.05"/>
    <s v="NC"/>
    <m/>
    <m/>
    <x v="4"/>
    <s v="Std Decline  1755954 Hajimirza"/>
    <m/>
    <m/>
    <s v="Jack Snoeyink"/>
    <s v="Cognizant Program Director"/>
    <s v="eJ"/>
    <s v="shima.hm@tamu.edu"/>
    <s v="PIs@"/>
    <s v="CCF"/>
    <s v="1755954"/>
    <n v="3"/>
    <n v="3"/>
    <m/>
    <s v=""/>
    <n v="4"/>
    <n v="5.333333333333333"/>
    <n v="7"/>
    <s v="V,G,G/F"/>
    <d v="2017-10-24T16:13:00"/>
    <n v="175000"/>
    <n v="175000"/>
    <n v="0"/>
    <d v="2018-06-01T00:00:00"/>
    <n v="24"/>
    <s v="CRII: AF:Bayesian Framework for Efficient Surrogate Modeling and Learning of Probabilistic Functions Based on Large Scale Monte Carlo Simulations"/>
    <m/>
    <m/>
    <m/>
    <s v="P180207"/>
    <s v="Not Competitive"/>
    <n v="5"/>
    <s v="AF CAREER/CRII Panel A"/>
    <d v="2017-10-24T00:00:00"/>
    <s v=" V,G,G/F"/>
    <s v="31 rated projects: 3 HC, 12 C, 10 LC, 6 NC"/>
    <n v="14"/>
    <n v="0"/>
    <m/>
    <m/>
    <m/>
    <m/>
    <m/>
    <m/>
    <m/>
    <m/>
    <m/>
    <m/>
    <m/>
    <m/>
    <m/>
    <m/>
    <m/>
    <m/>
    <m/>
    <m/>
    <s v="1755954"/>
    <s v="Hajimirza"/>
    <s v="Shima"/>
    <s v="Texas Engineering Exp Sta"/>
    <n v="175000"/>
    <n v="175000"/>
    <s v="7933 8228"/>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7T14:30:53"/>
    <s v="shima.hm@tamu.edu"/>
    <s v="shima.hm@tamu.edu      "/>
  </r>
  <r>
    <m/>
    <d v="2017-08-09T17:13:00"/>
    <s v="NSF 17-552"/>
    <s v="05010000"/>
    <s v="026Y"/>
    <s v="NEW"/>
    <s v="PEND"/>
    <s v="4110"/>
    <s v="FY18CRII"/>
    <s v="JSNOEYI"/>
    <m/>
    <n v="1"/>
    <n v="4.05"/>
    <s v="NC"/>
    <m/>
    <m/>
    <x v="4"/>
    <s v="Std Decline  1755978 Gangammanavar"/>
    <m/>
    <m/>
    <s v="Jack Snoeyink"/>
    <s v="Cognizant Program Director"/>
    <s v="eJ"/>
    <s v="harsha@smu.edu"/>
    <s v="PIs@"/>
    <s v="CCF"/>
    <s v="1755978"/>
    <n v="3"/>
    <n v="3"/>
    <m/>
    <s v=""/>
    <n v="3"/>
    <n v="4.666666666666667"/>
    <n v="6"/>
    <s v="V/G,G,F"/>
    <d v="2017-10-23T18:00:00"/>
    <n v="175000"/>
    <n v="175000"/>
    <n v="0"/>
    <d v="2018-01-01T00:00:00"/>
    <n v="24"/>
    <s v="CRII:AF: Stochastic Programming Decomposition Model and Algorithm for Discrete-event Dynamic Systems"/>
    <m/>
    <m/>
    <m/>
    <s v="P180207"/>
    <s v="Not Competitive"/>
    <n v="5"/>
    <s v="AF CAREER/CRII Panel A"/>
    <d v="2017-10-24T00:00:00"/>
    <s v=" V/G,G,F"/>
    <s v="31 rated projects: 3 HC, 12 C, 10 LC, 6 NC"/>
    <n v="14"/>
    <n v="0"/>
    <m/>
    <m/>
    <m/>
    <m/>
    <m/>
    <m/>
    <m/>
    <m/>
    <m/>
    <m/>
    <m/>
    <m/>
    <m/>
    <m/>
    <m/>
    <m/>
    <m/>
    <m/>
    <s v="1755978"/>
    <s v="Gangammanavar"/>
    <s v="Harsha"/>
    <s v="Southern Methodist Univ"/>
    <n v="175000"/>
    <n v="175000"/>
    <s v="8228"/>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7T14:30:53"/>
    <s v="harsha@smu.edu"/>
    <s v="harsha@smu.edu      "/>
  </r>
  <r>
    <m/>
    <d v="2017-07-14T13:18:00"/>
    <s v="NSF 17-537"/>
    <s v="05010000"/>
    <s v="7796"/>
    <s v="NEW"/>
    <s v="PEND"/>
    <s v="4110"/>
    <s v="CAR17-18"/>
    <s v="JSNOEYI"/>
    <m/>
    <n v="1"/>
    <n v="4.22"/>
    <s v="NC"/>
    <m/>
    <m/>
    <x v="4"/>
    <s v="Std Decline  1749173 Borgwardt"/>
    <m/>
    <m/>
    <s v="Jack Snoeyink"/>
    <s v="Cognizant Program Director"/>
    <s v="eJ"/>
    <s v="steffen.borgwardt@ucdenver.edu"/>
    <s v="PIs@"/>
    <s v="CCF"/>
    <s v="1749173"/>
    <n v="4"/>
    <n v="4"/>
    <m/>
    <s v="Y"/>
    <n v="2"/>
    <n v="3.75"/>
    <n v="7"/>
    <s v="V,F,F,F/P"/>
    <d v="2017-10-23T14:00:00"/>
    <n v="470400"/>
    <n v="470400"/>
    <n v="0"/>
    <d v="2018-01-01T00:00:00"/>
    <n v="60"/>
    <s v="CAREER: Algorithms for Optimal Walks"/>
    <m/>
    <m/>
    <m/>
    <s v="P180207"/>
    <s v="Not Competitive"/>
    <n v="22"/>
    <s v="AF CAREER/CRII Panel A"/>
    <d v="2017-10-24T00:00:00"/>
    <s v=" V,F,F,F/P"/>
    <s v="31 rated projects: 3 HC, 12 C, 10 LC, 6 NC"/>
    <n v="14"/>
    <n v="0"/>
    <m/>
    <m/>
    <m/>
    <m/>
    <m/>
    <m/>
    <m/>
    <m/>
    <m/>
    <m/>
    <m/>
    <m/>
    <m/>
    <m/>
    <m/>
    <m/>
    <m/>
    <m/>
    <s v="1749173"/>
    <s v="Borgwardt"/>
    <s v="Steffen"/>
    <s v="U of Colorado Denver"/>
    <n v="470400"/>
    <n v="470400"/>
    <s v="1045 7926"/>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steffen.borgwardt@ucdenver.edu"/>
    <s v="steffen.borgwardt@ucdenver.edu      "/>
  </r>
  <r>
    <m/>
    <d v="2017-07-18T19:24:00"/>
    <s v="NSF 17-537"/>
    <s v="05010000"/>
    <s v="7796"/>
    <s v="NEW"/>
    <s v="PEND"/>
    <s v="4110"/>
    <s v="CAR17-18"/>
    <s v="JSNOEYI"/>
    <m/>
    <n v="1"/>
    <n v="4.22"/>
    <s v="NC"/>
    <m/>
    <m/>
    <x v="4"/>
    <s v="Std Decline  1750076 Schroeder"/>
    <m/>
    <m/>
    <s v="Jack Snoeyink"/>
    <s v="Cognizant Program Director"/>
    <s v="eJ"/>
    <s v="craig@ucr.edu"/>
    <s v="PIs@"/>
    <s v="CCF"/>
    <s v="1750076"/>
    <n v="4"/>
    <n v="4"/>
    <m/>
    <s v=""/>
    <n v="3"/>
    <n v="4"/>
    <n v="7"/>
    <s v="V,F,F,F"/>
    <d v="2017-10-23T14:01:00"/>
    <n v="440331"/>
    <n v="440331"/>
    <n v="0"/>
    <d v="2018-01-01T00:00:00"/>
    <n v="60"/>
    <s v="CAREER: Addressing robustness in numerical simulation of nonlinear elastic solids through optimization integration and improved collision treatments"/>
    <m/>
    <m/>
    <m/>
    <s v="P180207"/>
    <s v="Not Competitive"/>
    <n v="22"/>
    <s v="AF CAREER/CRII Panel A"/>
    <d v="2017-10-24T00:00:00"/>
    <s v=" V,F,F,F"/>
    <s v="31 rated projects: 3 HC, 12 C, 10 LC, 6 NC"/>
    <n v="14"/>
    <n v="0"/>
    <m/>
    <m/>
    <m/>
    <m/>
    <m/>
    <m/>
    <m/>
    <m/>
    <m/>
    <m/>
    <m/>
    <m/>
    <m/>
    <m/>
    <m/>
    <m/>
    <m/>
    <m/>
    <s v="1750076"/>
    <s v="Schroeder"/>
    <s v="Craig"/>
    <s v="U of Cal Riverside"/>
    <n v="440331"/>
    <n v="440331"/>
    <s v="1045 7933"/>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7T14:30:53"/>
    <s v="craig@ucr.edu"/>
    <s v="craig@ucr.edu      "/>
  </r>
  <r>
    <m/>
    <d v="2017-02-08T00:00:00"/>
    <s v="NSF 08-557"/>
    <s v="05010000"/>
    <s v="7796"/>
    <s v="TRSF"/>
    <s v="PEND"/>
    <s v="4110"/>
    <s v="TWC2011CAR"/>
    <s v="JSNOEYI"/>
    <m/>
    <m/>
    <n v="99"/>
    <m/>
    <m/>
    <m/>
    <x v="3"/>
    <s v="RA 1735569 Peikert"/>
    <m/>
    <m/>
    <s v="Jack Snoeyink"/>
    <s v="Cognizant Program Director"/>
    <s v="eJ"/>
    <s v="cpeikert@umich.edu"/>
    <s v="PIs@"/>
    <s v="CCF"/>
    <m/>
    <m/>
    <m/>
    <m/>
    <s v=""/>
    <m/>
    <m/>
    <m/>
    <m/>
    <m/>
    <n v="52428"/>
    <n v="104856"/>
    <n v="0"/>
    <d v="2016-08-08T00:00:00"/>
    <n v="12"/>
    <s v="CAREER: Lattices in Cryptography"/>
    <m/>
    <m/>
    <m/>
    <m/>
    <m/>
    <m/>
    <m/>
    <m/>
    <m/>
    <m/>
    <m/>
    <m/>
    <m/>
    <m/>
    <m/>
    <m/>
    <m/>
    <m/>
    <m/>
    <m/>
    <m/>
    <m/>
    <m/>
    <m/>
    <m/>
    <m/>
    <m/>
    <m/>
    <m/>
    <m/>
    <s v="1735569"/>
    <s v="Peikert"/>
    <s v="Chris"/>
    <s v="University of Michigan"/>
    <n v="26214"/>
    <n v="52428"/>
    <s v="1045 1187 7795 7796 9218"/>
    <s v="1735569"/>
    <s v="Peikert"/>
    <s v="Chris"/>
    <s v="University of Michigan"/>
    <n v="26214"/>
    <n v="52428"/>
    <s v="1045 1187 7795 7796 9218"/>
    <m/>
    <m/>
    <m/>
    <m/>
    <m/>
    <m/>
    <m/>
    <m/>
    <m/>
    <m/>
    <m/>
    <m/>
    <m/>
    <m/>
    <m/>
    <m/>
    <m/>
    <m/>
    <m/>
    <m/>
    <m/>
    <m/>
    <m/>
    <m/>
    <m/>
    <m/>
    <m/>
    <m/>
    <m/>
    <m/>
    <m/>
    <m/>
    <m/>
    <m/>
    <m/>
    <s v="Faculty Early Career Development (CAREER) Program"/>
    <s v="Division of Computing and Communication Foundations"/>
    <s v="ALGORITHMIC FOUNDATIONS"/>
    <s v="Jack Snoeyink"/>
    <s v="Pending, Assigned to PM"/>
    <s v="PI Transfer"/>
    <s v="Research Grants-Not Elsewh Cla"/>
    <s v="CSE"/>
    <s v="Direct For Computer &amp; Info Scie &amp; Enginr"/>
    <d v="2017-12-07T14:30:53"/>
    <s v="cpeikert@umich.edu"/>
    <s v="cpeikert@umich.edu;cpeikert@umich.edu     "/>
  </r>
  <r>
    <m/>
    <d v="2017-02-08T00:00:00"/>
    <s v="NSF 08-557"/>
    <s v="05010000"/>
    <s v="7796"/>
    <s v="TRSF"/>
    <s v="PEND"/>
    <s v="4110"/>
    <s v="TWC2011CAR"/>
    <s v="JSNOEYI"/>
    <m/>
    <m/>
    <n v="99"/>
    <m/>
    <m/>
    <m/>
    <x v="3"/>
    <s v="RA 1735569 Peikert"/>
    <m/>
    <m/>
    <s v="Jack Snoeyink"/>
    <s v="Cognizant Program Director"/>
    <s v="eJ"/>
    <s v="cpeikert@umich.edu"/>
    <s v="PIs@"/>
    <s v="CCF"/>
    <m/>
    <m/>
    <m/>
    <m/>
    <s v=""/>
    <m/>
    <m/>
    <m/>
    <m/>
    <m/>
    <n v="52428"/>
    <n v="104856"/>
    <n v="0"/>
    <d v="2016-08-08T00:00:00"/>
    <n v="12"/>
    <s v="CAREER: Lattices in Cryptography"/>
    <m/>
    <m/>
    <m/>
    <m/>
    <m/>
    <m/>
    <m/>
    <m/>
    <m/>
    <m/>
    <m/>
    <m/>
    <m/>
    <m/>
    <m/>
    <m/>
    <m/>
    <m/>
    <m/>
    <m/>
    <m/>
    <m/>
    <m/>
    <m/>
    <m/>
    <m/>
    <m/>
    <m/>
    <m/>
    <m/>
    <s v="1735569"/>
    <s v="Peikert"/>
    <s v="Chris"/>
    <s v="University of Michigan"/>
    <n v="26214"/>
    <n v="52428"/>
    <s v="1045 1187 7795 7796 9218"/>
    <s v="1735569"/>
    <s v="Peikert"/>
    <s v="Chris"/>
    <s v="University of Michigan"/>
    <n v="26214"/>
    <n v="52428"/>
    <s v="1045 1187 7795 7796 9218"/>
    <m/>
    <m/>
    <m/>
    <m/>
    <m/>
    <m/>
    <m/>
    <m/>
    <m/>
    <m/>
    <m/>
    <m/>
    <m/>
    <m/>
    <m/>
    <m/>
    <m/>
    <m/>
    <m/>
    <m/>
    <m/>
    <m/>
    <m/>
    <m/>
    <m/>
    <m/>
    <m/>
    <m/>
    <m/>
    <m/>
    <m/>
    <m/>
    <m/>
    <m/>
    <m/>
    <s v="Faculty Early Career Development (CAREER) Program"/>
    <s v="Division of Computing and Communication Foundations"/>
    <s v="ALGORITHMIC FOUNDATIONS"/>
    <s v="Jack Snoeyink"/>
    <s v="Pending, Assigned to PM"/>
    <s v="PI Transfer"/>
    <s v="Research Grants-Not Elsewh Cla"/>
    <s v="CSE"/>
    <s v="Direct For Computer &amp; Info Scie &amp; Enginr"/>
    <d v="2017-12-07T14:30:53"/>
    <s v="cpeikert@umich.edu"/>
    <s v="cpeikert@umich.edu;cpeikert@umich.edu     "/>
  </r>
  <r>
    <m/>
    <d v="2017-10-16T00:00:00"/>
    <s v=" "/>
    <s v="05010000"/>
    <s v="7796"/>
    <s v="SUPP"/>
    <s v="PEND"/>
    <s v="4110"/>
    <m/>
    <s v="JSNOEYI"/>
    <m/>
    <m/>
    <n v="99"/>
    <m/>
    <m/>
    <m/>
    <x v="3"/>
    <s v="RA 1802840 Chambers"/>
    <m/>
    <m/>
    <s v="Jack Snoeyink"/>
    <s v="Cognizant Program Director"/>
    <s v="eJ"/>
    <s v="erin.chambers@slu.edu"/>
    <s v="PIs@"/>
    <s v="CCF"/>
    <m/>
    <m/>
    <m/>
    <m/>
    <s v=""/>
    <m/>
    <m/>
    <m/>
    <m/>
    <m/>
    <n v="4800"/>
    <n v="4800"/>
    <n v="0"/>
    <d v="1899-12-31T00:00:00"/>
    <n v="0"/>
    <s v="AF: Small: Extending algorithms for topological notions of similarity"/>
    <m/>
    <m/>
    <m/>
    <m/>
    <m/>
    <m/>
    <m/>
    <m/>
    <m/>
    <m/>
    <m/>
    <m/>
    <m/>
    <m/>
    <m/>
    <m/>
    <m/>
    <m/>
    <m/>
    <m/>
    <m/>
    <m/>
    <m/>
    <m/>
    <m/>
    <m/>
    <m/>
    <m/>
    <m/>
    <m/>
    <s v="1802840"/>
    <s v="Chambers"/>
    <s v="Erin"/>
    <s v="Saint Louis University"/>
    <n v="4800"/>
    <n v="4800"/>
    <m/>
    <m/>
    <m/>
    <m/>
    <m/>
    <m/>
    <m/>
    <m/>
    <m/>
    <m/>
    <m/>
    <m/>
    <m/>
    <m/>
    <m/>
    <m/>
    <m/>
    <m/>
    <m/>
    <m/>
    <m/>
    <m/>
    <m/>
    <m/>
    <m/>
    <m/>
    <m/>
    <m/>
    <m/>
    <m/>
    <m/>
    <m/>
    <m/>
    <m/>
    <m/>
    <m/>
    <m/>
    <m/>
    <m/>
    <m/>
    <m/>
    <m/>
    <m/>
    <m/>
    <s v="Division of Computing and Communication Foundations"/>
    <s v="ALGORITHMIC FOUNDATIONS"/>
    <s v="Jack Snoeyink"/>
    <s v="Pending, Assigned to PM"/>
    <s v="Supplement"/>
    <s v="Research Grants-Not Elsewh Cla"/>
    <s v="CSE"/>
    <s v="Direct For Computer &amp; Info Scie &amp; Enginr"/>
    <d v="2017-12-07T14:30:53"/>
    <s v="erin.chambers@slu.edu"/>
    <s v="erin.chambers@slu.edu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x="0"/>
        <item m="1" x="2"/>
        <item m="1" x="5"/>
        <item m="1" x="3"/>
        <item m="1" x="1"/>
        <item t="default"/>
      </items>
    </pivotField>
    <pivotField subtotalTop="0" showAll="0"/>
    <pivotField subtotalTop="0" showAll="0"/>
    <pivotField subtotalTop="0" showAll="0"/>
    <pivotField subtotalTop="0" showAll="0"/>
    <pivotField subtotalTop="0" showAll="0"/>
    <pivotField axis="axisCol" subtotalTop="0" showAll="0">
      <items count="7">
        <item m="1" x="5"/>
        <item m="1" x="1"/>
        <item m="1" x="2"/>
        <item m="1" x="3"/>
        <item m="1" x="4"/>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6"/>
        <item m="1" x="21"/>
        <item m="1" x="22"/>
        <item m="1" x="3"/>
        <item m="1" x="9"/>
        <item m="1" x="11"/>
        <item m="1" x="20"/>
        <item m="1" x="18"/>
        <item m="1" x="12"/>
        <item m="1" x="13"/>
        <item m="1" x="16"/>
        <item m="1" x="2"/>
        <item m="1" x="4"/>
        <item m="1" x="7"/>
        <item m="1" x="10"/>
        <item m="1" x="23"/>
        <item m="1" x="17"/>
        <item m="1" x="14"/>
        <item m="1" x="8"/>
        <item m="1" x="15"/>
        <item m="1" x="19"/>
        <item m="1" x="5"/>
        <item x="0"/>
        <item m="1" x="1"/>
      </items>
    </pivotField>
    <pivotField axis="axisRow" subtotalTop="0" showAll="0" defaultSubtotal="0">
      <items count="23">
        <item m="1" x="7"/>
        <item m="1" x="17"/>
        <item m="1" x="10"/>
        <item m="1" x="22"/>
        <item m="1" x="4"/>
        <item m="1" x="14"/>
        <item m="1" x="9"/>
        <item m="1" x="13"/>
        <item m="1" x="16"/>
        <item m="1" x="3"/>
        <item m="1" x="12"/>
        <item m="1" x="11"/>
        <item m="1" x="5"/>
        <item m="1" x="21"/>
        <item m="1" x="2"/>
        <item m="1" x="18"/>
        <item m="1" x="8"/>
        <item m="1" x="20"/>
        <item m="1" x="15"/>
        <item m="1" x="19"/>
        <item m="1" x="6"/>
        <item x="0"/>
        <item m="1" x="1"/>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2"/>
      <x v="21"/>
    </i>
    <i r="2">
      <x v="2"/>
    </i>
    <i t="grand">
      <x/>
    </i>
  </rowItems>
  <colFields count="1">
    <field x="15"/>
  </colFields>
  <colItems count="2">
    <i>
      <x v="5"/>
    </i>
    <i t="grand">
      <x/>
    </i>
  </colItems>
  <dataFields count="1">
    <dataField name="Sum of budg_splt_tot_dol" fld="17" baseField="0" baseItem="0" numFmtId="166"/>
  </dataFields>
  <formats count="3">
    <format dxfId="276">
      <pivotArea outline="0" collapsedLevelsAreSubtotals="1" fieldPosition="0"/>
    </format>
    <format dxfId="275">
      <pivotArea outline="0" collapsedLevelsAreSubtotals="1" fieldPosition="0"/>
    </format>
    <format dxfId="27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7:E23"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8">
        <item m="1" x="6"/>
        <item x="1"/>
        <item x="2"/>
        <item x="4"/>
        <item m="1" x="5"/>
        <item x="0"/>
        <item x="3"/>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6">
    <i>
      <x v="1"/>
    </i>
    <i>
      <x v="2"/>
    </i>
    <i>
      <x v="3"/>
    </i>
    <i>
      <x v="5"/>
    </i>
    <i>
      <x v="6"/>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91">
  <autoFilter ref="B12:B13"/>
  <tableColumns count="1">
    <tableColumn id="1" name="prop_id" dataDxfId="290"/>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89">
  <autoFilter ref="E12:E13"/>
  <tableColumns count="1">
    <tableColumn id="1" name="prop_id" dataDxfId="288"/>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87">
  <autoFilter ref="H12:H13"/>
  <tableColumns count="1">
    <tableColumn id="1" name="prop_id" dataDxfId="286"/>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144" tableType="queryTable" totalsRowShown="0">
  <autoFilter ref="A1:BL144"/>
  <tableColumns count="64">
    <tableColumn id="123" uniqueName="123" name="dd_rcom_date" queryTableFieldId="1" dataDxfId="267"/>
    <tableColumn id="124" uniqueName="124" name="nsf_rcvd_date" queryTableFieldId="2" dataDxfId="266"/>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65"/>
    <tableColumn id="131" uniqueName="131" name="bas_rsch_pct" queryTableFieldId="9" dataDxfId="264"/>
    <tableColumn id="132" uniqueName="132" name="other_pct" queryTableFieldId="10" dataDxfId="263"/>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62">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61"/>
    <tableColumn id="186" uniqueName="186" name="0" queryTableFieldId="65" dataDxfId="260">
      <calculatedColumnFormula>S1+(ckCodingTable[[#This Row],[ILN]]&lt;"M")</calculatedColumnFormula>
    </tableColumn>
    <tableColumn id="139" uniqueName="139" name="ILN" queryTableFieldId="17" dataDxfId="259"/>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58"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57"/>
    <tableColumn id="146" uniqueName="146" name="rqst_mnth_cnt" queryTableFieldId="24"/>
    <tableColumn id="147" uniqueName="147" name="nPanl" queryTableFieldId="25"/>
    <tableColumn id="149" uniqueName="149" name="nPSunrls" queryTableFieldId="27"/>
    <tableColumn id="148" uniqueName="148" name="nPSunmrkd" queryTableFieldId="26" dataDxfId="256"/>
    <tableColumn id="152" uniqueName="152" name="allReviews" queryTableFieldId="30"/>
    <tableColumn id="153" uniqueName="153" name="avg_score" queryTableFieldId="31" dataDxfId="255"/>
    <tableColumn id="154" uniqueName="154" name="last_rev_date" queryTableFieldId="32" dataDxfId="254"/>
    <tableColumn id="156" uniqueName="156" name="Nconfl" queryTableFieldId="34" dataDxfId="253"/>
    <tableColumn id="151" uniqueName="151" name="nRev" queryTableFieldId="29"/>
    <tableColumn id="157" uniqueName="157" name="Nunrlsbl" queryTableFieldId="35"/>
    <tableColumn id="155" uniqueName="155" name="Nunmkd" queryTableFieldId="33" dataDxfId="252"/>
    <tableColumn id="158" uniqueName="158" name="NrlsdCDNPS" queryTableFieldId="36" dataDxfId="251"/>
    <tableColumn id="159" uniqueName="159" name="NpendSlct" queryTableFieldId="37" dataDxfId="250"/>
    <tableColumn id="160" uniqueName="160" name="NdiffFLeJ" queryTableFieldId="38" dataDxfId="249"/>
    <tableColumn id="5" uniqueName="5" name="eJ again" queryTableFieldId="81" dataDxfId="248"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47" dataCellStyle="Currency"/>
    <tableColumn id="165" uniqueName="165" name="budg_tot" queryTableFieldId="43" dataDxfId="246" dataCellStyle="Currency"/>
    <tableColumn id="166" uniqueName="166" name="sub_ctr_tot" queryTableFieldId="44" dataDxfId="245" dataCellStyle="Currency"/>
    <tableColumn id="167" uniqueName="167" name="frgn_trav_tot" queryTableFieldId="45" dataDxfId="244" dataCellStyle="Currency"/>
    <tableColumn id="168" uniqueName="168" name="pdoc_tot" queryTableFieldId="46" dataDxfId="243" dataCellStyle="Currency"/>
    <tableColumn id="169" uniqueName="169" name="part_tot_dol" queryTableFieldId="47" dataDxfId="242"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144" tableType="queryTable" totalsRowShown="0">
  <autoFilter ref="A1:AX144"/>
  <tableColumns count="50">
    <tableColumn id="1" uniqueName="1" name="dd_rcom_date" queryTableFieldId="214" dataDxfId="114"/>
    <tableColumn id="4" uniqueName="4" name="nsf_rcvd_date" queryTableFieldId="4" dataDxfId="113"/>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112"/>
    <tableColumn id="39" uniqueName="39" name="natr_rqst_abbr" queryTableFieldId="280" dataDxfId="111"/>
    <tableColumn id="49" uniqueName="49" name="rcom_istr_abbr" queryTableFieldId="281" dataDxfId="110"/>
    <tableColumn id="19" uniqueName="19" name="obj_clas_code" queryTableFieldId="221"/>
    <tableColumn id="11" uniqueName="11" name="cntx_stmt_id" queryTableFieldId="11"/>
    <tableColumn id="32" uniqueName="32" name="RAupdate" queryTableFieldId="254" dataDxfId="109"/>
    <tableColumn id="25" uniqueName="25" name="0" queryTableFieldId="230" dataDxfId="108">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107" dataCellStyle="Hyperlink">
      <calculatedColumnFormula>HYPERLINK("https://www.ejacket.nsf.gov/ej/showProposal.do?ID="&amp;ckAwdTable[[#This Row],[prop_id]],"eJ")</calculatedColumnFormula>
    </tableColumn>
    <tableColumn id="27" uniqueName="27" name="Div" queryTableFieldId="282" dataDxfId="106"/>
    <tableColumn id="12" uniqueName="12" name="prop_id" queryTableFieldId="12"/>
    <tableColumn id="13" uniqueName="13" name="pi_last_name" queryTableFieldId="13"/>
    <tableColumn id="14" uniqueName="14" name="pi_frst_name" queryTableFieldId="14"/>
    <tableColumn id="24" uniqueName="24" name="inst" queryTableFieldId="283" dataDxfId="105"/>
    <tableColumn id="23" uniqueName="23" name="st_code" queryTableFieldId="225"/>
    <tableColumn id="206" uniqueName="206" name="@pi email" queryTableFieldId="212" dataDxfId="104"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103"/>
    <tableColumn id="17" uniqueName="17" name="rqst_mnth_cnt" queryTableFieldId="17"/>
    <tableColumn id="9" uniqueName="9" name="humn_date" queryTableFieldId="218"/>
    <tableColumn id="28" uniqueName="28" name="hum_asur" queryTableFieldId="301" dataDxfId="102"/>
    <tableColumn id="29" uniqueName="29" name="HUM_EXPT" queryTableFieldId="302" dataDxfId="101"/>
    <tableColumn id="10" uniqueName="10" name="vrtb_date" queryTableFieldId="219"/>
    <tableColumn id="37" uniqueName="37" name="vrtb_asur" queryTableFieldId="303" dataDxfId="100"/>
    <tableColumn id="30" uniqueName="30" name="Country" queryTableFieldId="250" dataDxfId="99"/>
    <tableColumn id="34" uniqueName="34" name="rqst_tot" queryTableFieldId="288" dataDxfId="98" dataCellStyle="Currency"/>
    <tableColumn id="35" uniqueName="35" name="brevn" queryTableFieldId="289" dataDxfId="97"/>
    <tableColumn id="36" uniqueName="36" name="budg_tot" queryTableFieldId="290" dataDxfId="96"/>
    <tableColumn id="40" uniqueName="40" name="sub_ctr_tot" queryTableFieldId="292" dataDxfId="95"/>
    <tableColumn id="41" uniqueName="41" name="frgn_trav_tot" queryTableFieldId="293" dataDxfId="94"/>
    <tableColumn id="42" uniqueName="42" name="pdoc_tot" queryTableFieldId="294" dataDxfId="93"/>
    <tableColumn id="43" uniqueName="43" name="part_tot_dol" queryTableFieldId="295" dataDxfId="92"/>
    <tableColumn id="44" uniqueName="44" name="grad_tot_cnt" queryTableFieldId="296" dataDxfId="91"/>
    <tableColumn id="45" uniqueName="45" name="sr_tot_cnt" queryTableFieldId="297" dataDxfId="90"/>
    <tableColumn id="46" uniqueName="46" name="sr_sumr_mnths" queryTableFieldId="298" dataDxfId="89"/>
    <tableColumn id="47" uniqueName="47" name="sr_acad_mnths" queryTableFieldId="299" dataDxfId="88"/>
    <tableColumn id="48" uniqueName="48" name="sr_cal_mnths" queryTableFieldId="300" dataDxfId="87"/>
    <tableColumn id="8" uniqueName="8" name="prop_stts_txt" queryTableFieldId="278" dataDxfId="86"/>
    <tableColumn id="54" uniqueName="54" name="OTH_AGCY_SUBM_FLAG" queryTableFieldId="287" dataDxfId="85"/>
    <tableColumn id="53" uniqueName="53" name="Abstr?marks" queryTableFieldId="320" dataDxfId="84">
      <calculatedColumnFormula>IFERROR(IF(FIND("?",ckAwdTable[abst_narr_txt]),SummarizeQuestMarks(ckAwdTable[abst_narr_txt]),""),"")</calculatedColumnFormula>
    </tableColumn>
    <tableColumn id="51" uniqueName="51" name="abst_narr_txt" queryTableFieldId="251" dataDxfId="83"/>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82"/>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641" tableType="queryTable" totalsRowShown="0" dataDxfId="285">
  <autoFilter ref="A3:AD641"/>
  <tableColumns count="30">
    <tableColumn id="10" uniqueName="10" name="prop_id" queryTableFieldId="10" dataDxfId="142"/>
    <tableColumn id="9" uniqueName="9" name="ILN" queryTableFieldId="89" dataDxfId="141" dataCellStyle="Hyperlink"/>
    <tableColumn id="31" uniqueName="31" name="10" queryTableFieldId="98" dataDxfId="140" dataCellStyle="Hyperlink">
      <calculatedColumnFormula>C3+(BudgetsTable[[#This Row],[lead]]&lt;&gt;K3)</calculatedColumnFormula>
    </tableColumn>
    <tableColumn id="32" uniqueName="32" name="0" queryTableFieldId="97" dataDxfId="139" dataCellStyle="Hyperlink">
      <calculatedColumnFormula>D3*(BudgetsTable[[#This Row],[lead]]=K3)+(BudgetsTable[[#This Row],[prop_id]]&lt;&gt;A3)</calculatedColumnFormula>
    </tableColumn>
    <tableColumn id="3" uniqueName="3" name="nsf_rcvd_date" queryTableFieldId="63" dataDxfId="138" dataCellStyle="Hyperlink"/>
    <tableColumn id="4" uniqueName="4" name="pgm_annc_id" queryTableFieldId="64" dataDxfId="137" dataCellStyle="Hyperlink"/>
    <tableColumn id="5" uniqueName="5" name="org_code" queryTableFieldId="65" dataDxfId="136" dataCellStyle="Hyperlink"/>
    <tableColumn id="6" uniqueName="6" name="pgm_ele_code" queryTableFieldId="66" dataDxfId="135" dataCellStyle="Hyperlink"/>
    <tableColumn id="27" uniqueName="27" name="PO" queryTableFieldId="91" dataDxfId="134" dataCellStyle="Hyperlink"/>
    <tableColumn id="28" uniqueName="28" name="pi_email" queryTableFieldId="92" dataDxfId="133" dataCellStyle="Hyperlink"/>
    <tableColumn id="8" uniqueName="8" name="lead" queryTableFieldId="68" dataDxfId="132"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31"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30"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29" dataCellStyle="Hyperlink"/>
    <tableColumn id="14" uniqueName="14" name="sr_pers_cnt" queryTableFieldId="73" dataDxfId="128" dataCellStyle="Hyperlink"/>
    <tableColumn id="15" uniqueName="15" name="sr_summ_mnth_cnt" queryTableFieldId="74" dataDxfId="127" dataCellStyle="Hyperlink"/>
    <tableColumn id="16" uniqueName="16" name="pdoc_grnt_dol" queryTableFieldId="75" dataDxfId="126" dataCellStyle="Currency"/>
    <tableColumn id="17" uniqueName="17" name="frgn_trav_dol" queryTableFieldId="76" dataDxfId="125" dataCellStyle="Currency"/>
    <tableColumn id="18" uniqueName="18" name="part_dol" queryTableFieldId="77" dataDxfId="124" dataCellStyle="Currency"/>
    <tableColumn id="19" uniqueName="19" name="budg_tot_dol" queryTableFieldId="78" dataDxfId="123" dataCellStyle="Currency"/>
    <tableColumn id="20" uniqueName="20" name="revn_num" queryTableFieldId="79" dataDxfId="122" dataCellStyle="Hyperlink"/>
    <tableColumn id="21" uniqueName="21" name="budg_seq_yr" queryTableFieldId="80" dataDxfId="121" dataCellStyle="Hyperlink"/>
    <tableColumn id="26" uniqueName="26" name="Column1" queryTableFieldId="85" dataDxfId="120" dataCellStyle="Hyperlink">
      <calculatedColumnFormula>IF(ISBLANK(BudgetsTable[[#This Row],[budg_seq_yr]]),"FY"&amp;fiscalyear,"FY"&amp;fiscalyear-1+BudgetsTable[[#This Row],[budg_seq_yr]])</calculatedColumnFormula>
    </tableColumn>
    <tableColumn id="22" uniqueName="22" name="dol" queryTableFieldId="81" dataDxfId="119" dataCellStyle="Currency"/>
    <tableColumn id="23" uniqueName="23" name="org_code2" queryTableFieldId="82" dataDxfId="118" dataCellStyle="Hyperlink"/>
    <tableColumn id="24" uniqueName="24" name="PEC" queryTableFieldId="83" dataDxfId="117" dataCellStyle="Hyperlink"/>
    <tableColumn id="7" uniqueName="7" name="Obj" queryTableFieldId="99" dataDxfId="116" dataCellStyle="Hyperlink"/>
    <tableColumn id="25" uniqueName="25" name="PRCs" queryTableFieldId="84" dataDxfId="115"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16" tableType="queryTable" totalsRowShown="0" headerRowCellStyle="Normal" dataCellStyle="Normal">
  <autoFilter ref="A2:B16"/>
  <tableColumns count="2">
    <tableColumn id="1" uniqueName="1" name="PRC" queryTableFieldId="278" dataDxfId="273"/>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6" tableType="queryTable" totalsRowShown="0" headerRowCellStyle="Normal" dataCellStyle="Normal">
  <autoFilter ref="D2:E6"/>
  <tableColumns count="2">
    <tableColumn id="1" uniqueName="1" name="PEC" queryTableFieldId="280" dataDxfId="284" dataCellStyle="Normal"/>
    <tableColumn id="2" uniqueName="2" name="PEC_Description" queryTableFieldId="281" dataCellStyle="Normal"/>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122" tableType="queryTable" totalsRowShown="0">
  <autoFilter ref="A1:EC122"/>
  <sortState ref="A2:EC122">
    <sortCondition ref="M1:M122"/>
  </sortState>
  <tableColumns count="133">
    <tableColumn id="1" uniqueName="1" name="dd_rcom_date" queryTableFieldId="1" dataDxfId="241"/>
    <tableColumn id="2" uniqueName="2" name="nsf_rcvd_date" queryTableFieldId="2" dataDxfId="240"/>
    <tableColumn id="3" uniqueName="3" name="pgm_annc_id" queryTableFieldId="3" dataDxfId="239"/>
    <tableColumn id="4" uniqueName="4" name="org_code" queryTableFieldId="4" dataDxfId="238"/>
    <tableColumn id="5" uniqueName="5" name="pgm_ele_code" queryTableFieldId="5" dataDxfId="237"/>
    <tableColumn id="6" uniqueName="6" name="natr_rqst_abbr" queryTableFieldId="6" dataDxfId="236"/>
    <tableColumn id="7" uniqueName="7" name="prop_stts_abbr" queryTableFieldId="7" dataDxfId="235"/>
    <tableColumn id="8" uniqueName="8" name="obj_clas_code" queryTableFieldId="8"/>
    <tableColumn id="9" uniqueName="9" name="cntx_stmt_id" queryTableFieldId="9"/>
    <tableColumn id="10" uniqueName="10" name="PO" queryTableFieldId="10"/>
    <tableColumn id="11" uniqueName="11" name="RAupdate" queryTableFieldId="11" dataDxfId="234"/>
    <tableColumn id="12" uniqueName="12" name="nPanl" queryTableFieldId="12"/>
    <tableColumn id="13" uniqueName="13" name="RecRkMin" queryTableFieldId="13" dataDxfId="233"/>
    <tableColumn id="14" uniqueName="14" name="rec0" queryTableFieldId="14"/>
    <tableColumn id="15" uniqueName="15" name="rec1" queryTableFieldId="15"/>
    <tableColumn id="16" uniqueName="16" name="rec2" queryTableFieldId="16"/>
    <tableColumn id="17" uniqueName="17" name="RAtemplate" queryTableFieldId="17" dataDxfId="232"/>
    <tableColumn id="133" uniqueName="133" name="Radraft_filename" queryTableFieldId="135" dataDxfId="231">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230"/>
    <tableColumn id="137" uniqueName="137" name="RAps_note" queryTableFieldId="136" dataDxfId="229"/>
    <tableColumn id="134" uniqueName="134" name="RAsigner" queryTableFieldId="134" dataDxfId="228">
      <calculatedColumnFormula>IF(signer1="PD",IF(ISBLANK(RADataTable[[#This Row],[sign_blck_name]]),"",RADataTable[[#This Row],[sign_blck_name]]),IF(ISBLANK(signer1),"",signer1))</calculatedColumnFormula>
    </tableColumn>
    <tableColumn id="135" uniqueName="135" name="RAsigner2" queryTableFieldId="133" dataDxfId="227">
      <calculatedColumnFormula>signer2</calculatedColumnFormula>
    </tableColumn>
    <tableColumn id="138" uniqueName="138" name="ej" queryTableFieldId="142" dataDxfId="226" dataCellStyle="Hyperlink">
      <calculatedColumnFormula>HYPERLINK("https://www.ejacket.nsf.gov/ej/showProposal.do?Continue=Y&amp;ID="&amp;RADataTable[[#This Row],[prop_id0]],"eJ")</calculatedColumnFormula>
    </tableColumn>
    <tableColumn id="139" uniqueName="139" name="@PI" queryTableFieldId="141" dataDxfId="225"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224"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223">
      <calculatedColumnFormula>IF(RADataTable[[#This Row],[maxScore]]-RADataTable[[#This Row],[minScore]]&gt;4,"Y","")</calculatedColumnFormula>
    </tableColumn>
    <tableColumn id="22" uniqueName="22" name="minScore" queryTableFieldId="22" dataDxfId="222"/>
    <tableColumn id="23" uniqueName="23" name="avg_score" queryTableFieldId="23" dataDxfId="221"/>
    <tableColumn id="24" uniqueName="24" name="maxScore" queryTableFieldId="24"/>
    <tableColumn id="25" uniqueName="25" name="allReviews" queryTableFieldId="25"/>
    <tableColumn id="26" uniqueName="26" name="last_rev_date" queryTableFieldId="26" dataDxfId="220"/>
    <tableColumn id="28" uniqueName="28" name="rqst_tot" queryTableFieldId="28" dataDxfId="219" dataCellStyle="Currency"/>
    <tableColumn id="29" uniqueName="29" name="budg_tot" queryTableFieldId="29" dataDxfId="218" dataCellStyle="Currency"/>
    <tableColumn id="30" uniqueName="30" name="budRevnMax" queryTableFieldId="30"/>
    <tableColumn id="31" uniqueName="31" name="rqst_eff_date" queryTableFieldId="31" dataDxfId="217"/>
    <tableColumn id="32" uniqueName="32" name="rqst_mnth_cnt" queryTableFieldId="32" dataDxfId="216"/>
    <tableColumn id="33" uniqueName="33" name="prop_titl_txt" queryTableFieldId="33" dataDxfId="215"/>
    <tableColumn id="34" uniqueName="34" name="AhNrev" queryTableFieldId="34"/>
    <tableColumn id="35" uniqueName="35" name="AhRevs" queryTableFieldId="35"/>
    <tableColumn id="36" uniqueName="36" name="AhLast" queryTableFieldId="36" dataDxfId="214"/>
    <tableColumn id="37" uniqueName="37" name="panl_id0" queryTableFieldId="37"/>
    <tableColumn id="38" uniqueName="38" name="RCOM_TXT0" queryTableFieldId="38" dataDxfId="213"/>
    <tableColumn id="39" uniqueName="39" name="rank0" queryTableFieldId="39" dataDxfId="212"/>
    <tableColumn id="40" uniqueName="40" name="panl_name0" queryTableFieldId="40" dataDxfId="211"/>
    <tableColumn id="41" uniqueName="41" name="panl_end0" queryTableFieldId="41" dataDxfId="210"/>
    <tableColumn id="42" uniqueName="42" name="revs0" queryTableFieldId="42" dataDxfId="209"/>
    <tableColumn id="43" uniqueName="43" name="PanlString0" queryTableFieldId="43" dataDxfId="208"/>
    <tableColumn id="44" uniqueName="44" name="pnlst0" queryTableFieldId="44" dataDxfId="207"/>
    <tableColumn id="45" uniqueName="45" name="confl0" queryTableFieldId="45" dataDxfId="206"/>
    <tableColumn id="46" uniqueName="46" name="panl_id1" queryTableFieldId="46" dataDxfId="205"/>
    <tableColumn id="47" uniqueName="47" name="RCOM_TXT1" queryTableFieldId="47" dataDxfId="204"/>
    <tableColumn id="48" uniqueName="48" name="rank1" queryTableFieldId="48" dataDxfId="203"/>
    <tableColumn id="49" uniqueName="49" name="panl_name1" queryTableFieldId="49" dataDxfId="202"/>
    <tableColumn id="50" uniqueName="50" name="panl_end1" queryTableFieldId="50" dataDxfId="201"/>
    <tableColumn id="51" uniqueName="51" name="revs1" queryTableFieldId="51" dataDxfId="200"/>
    <tableColumn id="52" uniqueName="52" name="PanlString1" queryTableFieldId="52" dataDxfId="199"/>
    <tableColumn id="53" uniqueName="53" name="pnlst1" queryTableFieldId="53" dataDxfId="198"/>
    <tableColumn id="54" uniqueName="54" name="confl1" queryTableFieldId="54" dataDxfId="197"/>
    <tableColumn id="55" uniqueName="55" name="panl_id2" queryTableFieldId="55" dataDxfId="196"/>
    <tableColumn id="56" uniqueName="56" name="RCOM_TXT2" queryTableFieldId="56" dataDxfId="195"/>
    <tableColumn id="57" uniqueName="57" name="rank2" queryTableFieldId="57" dataDxfId="194"/>
    <tableColumn id="58" uniqueName="58" name="panl_name2" queryTableFieldId="58" dataDxfId="193"/>
    <tableColumn id="59" uniqueName="59" name="panl_end2" queryTableFieldId="59" dataDxfId="192"/>
    <tableColumn id="60" uniqueName="60" name="revs2" queryTableFieldId="60" dataDxfId="191"/>
    <tableColumn id="61" uniqueName="61" name="PanlString2" queryTableFieldId="61" dataDxfId="190"/>
    <tableColumn id="62" uniqueName="62" name="pnlst2" queryTableFieldId="62" dataDxfId="189"/>
    <tableColumn id="63" uniqueName="63" name="confl2" queryTableFieldId="63" dataDxfId="188"/>
    <tableColumn id="64" uniqueName="64" name="prop_id0" queryTableFieldId="64"/>
    <tableColumn id="65" uniqueName="65" name="last0" queryTableFieldId="65" dataDxfId="187"/>
    <tableColumn id="66" uniqueName="66" name="frst0" queryTableFieldId="66" dataDxfId="186"/>
    <tableColumn id="67" uniqueName="67" name="inst0" queryTableFieldId="67" dataDxfId="185"/>
    <tableColumn id="68" uniqueName="68" name="rqst0" queryTableFieldId="68" dataDxfId="184"/>
    <tableColumn id="69" uniqueName="69" name="b0tot" queryTableFieldId="69" dataDxfId="183"/>
    <tableColumn id="70" uniqueName="70" name="PRC0" queryTableFieldId="70"/>
    <tableColumn id="71" uniqueName="71" name="prop_id1" queryTableFieldId="71" dataDxfId="182"/>
    <tableColumn id="72" uniqueName="72" name="last1" queryTableFieldId="72" dataDxfId="181"/>
    <tableColumn id="73" uniqueName="73" name="frst1" queryTableFieldId="73" dataDxfId="180"/>
    <tableColumn id="74" uniqueName="74" name="inst1" queryTableFieldId="74" dataDxfId="179"/>
    <tableColumn id="75" uniqueName="75" name="rqst1" queryTableFieldId="75" dataDxfId="178"/>
    <tableColumn id="76" uniqueName="76" name="b1tot" queryTableFieldId="76" dataDxfId="177"/>
    <tableColumn id="77" uniqueName="77" name="PRC1" queryTableFieldId="77"/>
    <tableColumn id="78" uniqueName="78" name="prop_id2" queryTableFieldId="78" dataDxfId="176"/>
    <tableColumn id="79" uniqueName="79" name="last2" queryTableFieldId="79" dataDxfId="175"/>
    <tableColumn id="80" uniqueName="80" name="frst2" queryTableFieldId="80" dataDxfId="174"/>
    <tableColumn id="81" uniqueName="81" name="inst2" queryTableFieldId="81" dataDxfId="173"/>
    <tableColumn id="82" uniqueName="82" name="rqst2" queryTableFieldId="82" dataDxfId="172"/>
    <tableColumn id="83" uniqueName="83" name="b2tot" queryTableFieldId="83" dataDxfId="171"/>
    <tableColumn id="84" uniqueName="84" name="PRC2" queryTableFieldId="84"/>
    <tableColumn id="85" uniqueName="85" name="prop_id3" queryTableFieldId="85" dataDxfId="170"/>
    <tableColumn id="86" uniqueName="86" name="last3" queryTableFieldId="86" dataDxfId="169"/>
    <tableColumn id="87" uniqueName="87" name="frst3" queryTableFieldId="87" dataDxfId="168"/>
    <tableColumn id="88" uniqueName="88" name="inst3" queryTableFieldId="88" dataDxfId="167"/>
    <tableColumn id="89" uniqueName="89" name="rqst3" queryTableFieldId="89" dataDxfId="166"/>
    <tableColumn id="90" uniqueName="90" name="b3tot" queryTableFieldId="90" dataDxfId="165"/>
    <tableColumn id="91" uniqueName="91" name="PRC3" queryTableFieldId="91" dataDxfId="164"/>
    <tableColumn id="92" uniqueName="92" name="prop_id4" queryTableFieldId="92" dataDxfId="163"/>
    <tableColumn id="93" uniqueName="93" name="last4" queryTableFieldId="93" dataDxfId="162"/>
    <tableColumn id="94" uniqueName="94" name="frst4" queryTableFieldId="94" dataDxfId="161"/>
    <tableColumn id="95" uniqueName="95" name="inst4" queryTableFieldId="95" dataDxfId="160"/>
    <tableColumn id="96" uniqueName="96" name="rqst4" queryTableFieldId="96" dataDxfId="159"/>
    <tableColumn id="97" uniqueName="97" name="b4tot" queryTableFieldId="97" dataDxfId="158"/>
    <tableColumn id="98" uniqueName="98" name="PRC4" queryTableFieldId="98" dataDxfId="157"/>
    <tableColumn id="99" uniqueName="99" name="prop_id5" queryTableFieldId="99" dataDxfId="156"/>
    <tableColumn id="100" uniqueName="100" name="last5" queryTableFieldId="100" dataDxfId="155"/>
    <tableColumn id="101" uniqueName="101" name="frst5" queryTableFieldId="101" dataDxfId="154"/>
    <tableColumn id="102" uniqueName="102" name="inst5" queryTableFieldId="102" dataDxfId="153"/>
    <tableColumn id="103" uniqueName="103" name="rqst5" queryTableFieldId="103" dataDxfId="152"/>
    <tableColumn id="104" uniqueName="104" name="b5tot" queryTableFieldId="104" dataDxfId="151"/>
    <tableColumn id="105" uniqueName="105" name="PRC5" queryTableFieldId="105"/>
    <tableColumn id="106" uniqueName="106" name="prop_id6" queryTableFieldId="106" dataDxfId="150"/>
    <tableColumn id="107" uniqueName="107" name="last6" queryTableFieldId="107" dataDxfId="149"/>
    <tableColumn id="108" uniqueName="108" name="frst6" queryTableFieldId="108" dataDxfId="148"/>
    <tableColumn id="109" uniqueName="109" name="inst6" queryTableFieldId="109" dataDxfId="147"/>
    <tableColumn id="110" uniqueName="110" name="rqst6" queryTableFieldId="110" dataDxfId="146"/>
    <tableColumn id="111" uniqueName="111" name="b6tot" queryTableFieldId="111" dataDxfId="145"/>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44"/>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143"/>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0:I13" totalsRowShown="0" headerRowDxfId="283" dataDxfId="282">
  <autoFilter ref="I10:I13"/>
  <tableColumns count="1">
    <tableColumn id="1" name="Available templates:" dataDxfId="281"/>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29" headerRowDxfId="280" dataDxfId="279">
  <autoFilter ref="M2:M29"/>
  <tableColumns count="1">
    <tableColumn id="1" name="Epscor" totalsRowFunction="count" dataDxfId="278" totalsRowDxfId="277"/>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73" tableType="queryTable" totalsRowShown="0">
  <autoFilter ref="A1:AH73"/>
  <tableColumns count="34">
    <tableColumn id="21" uniqueName="21" name="dd_rcom_date" queryTableFieldId="1" dataDxfId="69"/>
    <tableColumn id="22" uniqueName="22" name="nsf_rcvd_date" queryTableFieldId="2" dataDxfId="68"/>
    <tableColumn id="23" uniqueName="23" name="cntx_stmt_id" queryTableFieldId="3"/>
    <tableColumn id="24" uniqueName="24" name="pgm_annc_id" queryTableFieldId="4"/>
    <tableColumn id="60" uniqueName="60" name="pObj" queryTableFieldId="13" dataDxfId="67"/>
    <tableColumn id="61" uniqueName="61" name="bObj" queryTableFieldId="14" dataDxfId="66"/>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65"/>
    <tableColumn id="35" uniqueName="35" name="rcom_istr_abbr" queryTableFieldId="15" dataDxfId="64"/>
    <tableColumn id="57" uniqueName="57" name="budg_yr" queryTableFieldId="27" dataDxfId="63"/>
    <tableColumn id="58" uniqueName="58" name="splt_id" queryTableFieldId="28" dataDxfId="62"/>
    <tableColumn id="59" uniqueName="59" name="budg_splt_tot_dol" queryTableFieldId="29" dataDxfId="61"/>
    <tableColumn id="54" uniqueName="54" name="0" queryTableFieldId="35" dataDxfId="60">
      <calculatedColumnFormula>S1+(X2&lt;&gt;X1)</calculatedColumnFormula>
    </tableColumn>
    <tableColumn id="37" uniqueName="37" name="ILN" queryTableFieldId="17" dataDxfId="59"/>
    <tableColumn id="36" uniqueName="36" name="lead" queryTableFieldId="16" dataDxfId="58"/>
    <tableColumn id="55" uniqueName="55" name="eJ" queryTableFieldId="36" dataDxfId="57" dataCellStyle="Hyperlink">
      <calculatedColumnFormula>HYPERLINK("https://www.ejacket.nsf.gov/ej/showProposal.do?ID="&amp;ckSplitsTable[[#This Row],[prop_id]],"eJ")</calculatedColumnFormula>
    </tableColumn>
    <tableColumn id="38" uniqueName="38" name="Div" queryTableFieldId="18" dataDxfId="56"/>
    <tableColumn id="39" uniqueName="39" name="prop_id" queryTableFieldId="19" dataDxfId="55"/>
    <tableColumn id="40" uniqueName="40" name="pi_last_name" queryTableFieldId="20" dataDxfId="54"/>
    <tableColumn id="41" uniqueName="41" name="pi_frst_name" queryTableFieldId="21" dataDxfId="53"/>
    <tableColumn id="42" uniqueName="42" name="inst" queryTableFieldId="22" dataDxfId="52"/>
    <tableColumn id="56" uniqueName="56" name="@ pi" queryTableFieldId="37" dataDxfId="51"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50"/>
    <tableColumn id="44" uniqueName="44" name="propPRCs" queryTableFieldId="24" dataDxfId="49"/>
    <tableColumn id="45" uniqueName="45" name="bPRCs" queryTableFieldId="25" dataDxfId="48"/>
    <tableColumn id="46" uniqueName="46" name="awd_id" queryTableFieldId="26" dataDxfId="47"/>
    <tableColumn id="50" uniqueName="50" name="prop_stts_txt" queryTableFieldId="30" dataDxfId="46"/>
    <tableColumn id="51" uniqueName="51" name="prop_titl_txt" queryTableFieldId="31" dataDxfId="45"/>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774" tableType="queryTable" totalsRowCount="1">
  <autoFilter ref="A1:P773"/>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71" totalsRowDxfId="272"/>
    <tableColumn id="11" uniqueName="11" name="returned" queryTableFieldId="11" dataDxfId="270"/>
    <tableColumn id="14" uniqueName="14" name="nchars" queryTableFieldId="15" dataDxfId="269">
      <calculatedColumnFormula>LEN(ProjTextTable[[#This Row],[text]])</calculatedColumnFormula>
    </tableColumn>
    <tableColumn id="15" uniqueName="15" name="nwords" queryTableFieldId="14" dataDxfId="268">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7.xml"/><Relationship Id="rId7"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11" Type="http://schemas.openxmlformats.org/officeDocument/2006/relationships/comments" Target="../comments5.xml"/><Relationship Id="rId5" Type="http://schemas.openxmlformats.org/officeDocument/2006/relationships/ctrlProp" Target="../ctrlProps/ctrlProp12.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workbookViewId="0">
      <selection activeCell="K25" sqref="K25"/>
    </sheetView>
  </sheetViews>
  <sheetFormatPr defaultRowHeight="14.6"/>
  <cols>
    <col min="1" max="1" width="4.3046875" customWidth="1"/>
    <col min="2" max="2" width="12.84375" customWidth="1"/>
    <col min="3" max="3" width="10.53515625" customWidth="1"/>
    <col min="4" max="4" width="3.15234375" customWidth="1"/>
    <col min="5" max="5" width="15.3046875" customWidth="1"/>
    <col min="7" max="7" width="4.53515625" customWidth="1"/>
    <col min="8" max="8" width="14" customWidth="1"/>
    <col min="12" max="12" width="4.53515625" customWidth="1"/>
    <col min="13" max="13" width="26.69140625" customWidth="1"/>
  </cols>
  <sheetData>
    <row r="1" spans="2:14" ht="18" customHeight="1">
      <c r="B1" s="36" t="s">
        <v>226</v>
      </c>
      <c r="C1" s="36"/>
      <c r="D1" s="36"/>
      <c r="E1" s="36"/>
      <c r="F1" s="36"/>
      <c r="G1" s="36"/>
      <c r="L1" s="3" t="s">
        <v>215</v>
      </c>
    </row>
    <row r="2" spans="2:14" ht="18" customHeight="1">
      <c r="B2" s="36" t="s">
        <v>423</v>
      </c>
      <c r="C2" s="36"/>
      <c r="D2" s="36"/>
      <c r="E2" s="36"/>
      <c r="F2" s="36"/>
      <c r="G2" s="36"/>
      <c r="I2" s="33"/>
      <c r="J2">
        <v>2</v>
      </c>
      <c r="L2" s="118" t="s">
        <v>525</v>
      </c>
    </row>
    <row r="3" spans="2:14" ht="18" customHeight="1">
      <c r="B3" s="3" t="s">
        <v>217</v>
      </c>
      <c r="C3" s="3"/>
      <c r="D3" s="37" t="s">
        <v>218</v>
      </c>
      <c r="E3" s="36"/>
      <c r="F3" s="36"/>
      <c r="I3" s="33"/>
      <c r="J3" t="b">
        <v>0</v>
      </c>
    </row>
    <row r="4" spans="2:14" ht="18" customHeight="1">
      <c r="B4" s="3"/>
      <c r="C4" s="35" t="s">
        <v>224</v>
      </c>
      <c r="D4" s="38" t="s">
        <v>219</v>
      </c>
      <c r="E4" s="36" t="s">
        <v>229</v>
      </c>
      <c r="F4" s="36"/>
      <c r="I4" s="33"/>
      <c r="J4" t="b">
        <v>0</v>
      </c>
      <c r="L4" s="3" t="s">
        <v>216</v>
      </c>
    </row>
    <row r="5" spans="2:14" ht="18" customHeight="1">
      <c r="B5" s="3"/>
      <c r="C5" s="35"/>
      <c r="D5" s="38" t="s">
        <v>220</v>
      </c>
      <c r="E5" s="36" t="s">
        <v>230</v>
      </c>
      <c r="F5" s="36"/>
      <c r="I5" s="33"/>
    </row>
    <row r="6" spans="2:14" ht="18" customHeight="1">
      <c r="B6" s="3"/>
      <c r="C6" s="35" t="s">
        <v>225</v>
      </c>
      <c r="D6" s="38" t="s">
        <v>221</v>
      </c>
      <c r="E6" s="36"/>
      <c r="F6" s="36"/>
    </row>
    <row r="7" spans="2:14" ht="18" customHeight="1">
      <c r="B7" s="3"/>
      <c r="C7" s="35" t="s">
        <v>227</v>
      </c>
      <c r="D7" s="38" t="s">
        <v>222</v>
      </c>
      <c r="E7" s="36"/>
      <c r="F7" s="36"/>
    </row>
    <row r="8" spans="2:14" ht="18" customHeight="1">
      <c r="B8" s="3"/>
      <c r="C8" s="35" t="s">
        <v>228</v>
      </c>
      <c r="D8" s="38" t="s">
        <v>223</v>
      </c>
      <c r="E8" s="36"/>
      <c r="F8" s="36"/>
      <c r="L8" s="44">
        <v>50</v>
      </c>
      <c r="M8" s="45" t="s">
        <v>238</v>
      </c>
    </row>
    <row r="9" spans="2:14" ht="18" customHeight="1">
      <c r="B9" s="3"/>
      <c r="C9" s="35"/>
      <c r="D9" s="38"/>
      <c r="E9" s="36"/>
      <c r="F9" s="36"/>
    </row>
    <row r="10" spans="2:14" ht="18" customHeight="1">
      <c r="B10" s="3" t="s">
        <v>214</v>
      </c>
      <c r="C10" s="3"/>
      <c r="D10" s="34"/>
      <c r="E10" s="3" t="s">
        <v>213</v>
      </c>
      <c r="F10" s="3"/>
      <c r="G10" s="3"/>
      <c r="H10" s="3" t="s">
        <v>231</v>
      </c>
      <c r="L10" s="3" t="s">
        <v>458</v>
      </c>
    </row>
    <row r="11" spans="2:14" ht="18" customHeight="1">
      <c r="B11" t="s">
        <v>174</v>
      </c>
      <c r="E11" t="s">
        <v>175</v>
      </c>
      <c r="H11" t="s">
        <v>177</v>
      </c>
      <c r="L11" s="61" t="s">
        <v>288</v>
      </c>
      <c r="M11" s="29" t="s">
        <v>287</v>
      </c>
    </row>
    <row r="12" spans="2:14" ht="18" customHeight="1">
      <c r="B12" t="s">
        <v>0</v>
      </c>
      <c r="E12" t="s">
        <v>0</v>
      </c>
      <c r="H12" t="s">
        <v>0</v>
      </c>
      <c r="L12" s="61" t="s">
        <v>289</v>
      </c>
      <c r="M12" s="29" t="s">
        <v>524</v>
      </c>
    </row>
    <row r="13" spans="2:14">
      <c r="B13" s="25"/>
      <c r="E13" s="25"/>
      <c r="H13" s="25"/>
    </row>
    <row r="14" spans="2:14">
      <c r="L14" s="3" t="s">
        <v>470</v>
      </c>
    </row>
    <row r="15" spans="2:14">
      <c r="M15" s="3" t="s">
        <v>466</v>
      </c>
      <c r="N15" s="7" t="s">
        <v>468</v>
      </c>
    </row>
    <row r="16" spans="2:14">
      <c r="M16" s="3" t="s">
        <v>480</v>
      </c>
      <c r="N16" s="7" t="s">
        <v>464</v>
      </c>
    </row>
    <row r="17" spans="3:14">
      <c r="M17" s="3" t="s">
        <v>475</v>
      </c>
      <c r="N17" s="7" t="s">
        <v>464</v>
      </c>
    </row>
    <row r="18" spans="3:14">
      <c r="M18" s="3" t="s">
        <v>880</v>
      </c>
      <c r="N18" s="7" t="s">
        <v>464</v>
      </c>
    </row>
    <row r="19" spans="3:14">
      <c r="M19" s="3" t="s">
        <v>465</v>
      </c>
      <c r="N19" s="7" t="s">
        <v>464</v>
      </c>
    </row>
    <row r="20" spans="3:14">
      <c r="M20" s="3" t="s">
        <v>503</v>
      </c>
      <c r="N20" s="7" t="s">
        <v>462</v>
      </c>
    </row>
    <row r="21" spans="3:14">
      <c r="C21" s="43"/>
      <c r="M21" s="3" t="s">
        <v>479</v>
      </c>
      <c r="N21" s="7" t="s">
        <v>462</v>
      </c>
    </row>
    <row r="22" spans="3:14">
      <c r="M22" s="3" t="s">
        <v>476</v>
      </c>
      <c r="N22" s="7" t="s">
        <v>462</v>
      </c>
    </row>
    <row r="23" spans="3:14">
      <c r="M23" s="3" t="s">
        <v>508</v>
      </c>
      <c r="N23" s="7" t="s">
        <v>12</v>
      </c>
    </row>
    <row r="24" spans="3:14">
      <c r="M24" s="3" t="s">
        <v>484</v>
      </c>
      <c r="N24" s="7" t="s">
        <v>472</v>
      </c>
    </row>
    <row r="25" spans="3:14">
      <c r="M25" s="3" t="s">
        <v>485</v>
      </c>
      <c r="N25" s="7" t="s">
        <v>472</v>
      </c>
    </row>
    <row r="26" spans="3:14">
      <c r="M26" s="3" t="s">
        <v>483</v>
      </c>
      <c r="N26" s="7" t="s">
        <v>472</v>
      </c>
    </row>
    <row r="27" spans="3:14">
      <c r="M27" s="3" t="s">
        <v>505</v>
      </c>
      <c r="N27" s="7" t="s">
        <v>463</v>
      </c>
    </row>
    <row r="28" spans="3:14">
      <c r="M28" s="3" t="s">
        <v>490</v>
      </c>
      <c r="N28" s="7" t="s">
        <v>489</v>
      </c>
    </row>
    <row r="29" spans="3:14">
      <c r="M29" s="3" t="s">
        <v>473</v>
      </c>
      <c r="N29" s="7" t="s">
        <v>474</v>
      </c>
    </row>
    <row r="30" spans="3:14">
      <c r="M30" s="3" t="s">
        <v>471</v>
      </c>
      <c r="N30" s="7" t="s">
        <v>467</v>
      </c>
    </row>
    <row r="31" spans="3:14">
      <c r="M31" s="3" t="s">
        <v>478</v>
      </c>
      <c r="N31" s="7" t="s">
        <v>477</v>
      </c>
    </row>
    <row r="32" spans="3:14">
      <c r="M32" s="3" t="s">
        <v>486</v>
      </c>
      <c r="N32" s="7" t="s">
        <v>487</v>
      </c>
    </row>
    <row r="35" spans="8:8">
      <c r="H35" s="43"/>
    </row>
    <row r="45" spans="8:8">
      <c r="H45" s="43"/>
    </row>
    <row r="46" spans="8:8">
      <c r="H46" s="43"/>
    </row>
    <row r="47" spans="8:8">
      <c r="H47" s="43"/>
    </row>
    <row r="48" spans="8:8">
      <c r="H48" s="43"/>
    </row>
    <row r="49" spans="8:8">
      <c r="H49" s="43"/>
    </row>
    <row r="50" spans="8:8">
      <c r="H50" s="43"/>
    </row>
    <row r="51" spans="8:8">
      <c r="H51" s="43"/>
    </row>
    <row r="52" spans="8:8">
      <c r="H52" s="43"/>
    </row>
    <row r="53" spans="8:8">
      <c r="H53" s="43"/>
    </row>
    <row r="54" spans="8:8">
      <c r="H54" s="43"/>
    </row>
    <row r="55" spans="8:8">
      <c r="H55" s="43"/>
    </row>
    <row r="56" spans="8:8">
      <c r="H56" s="43"/>
    </row>
    <row r="57" spans="8:8">
      <c r="H57" s="43"/>
    </row>
    <row r="58" spans="8:8">
      <c r="H58" s="43"/>
    </row>
    <row r="59" spans="8:8">
      <c r="H59" s="43"/>
    </row>
    <row r="60" spans="8:8">
      <c r="H60" s="43"/>
    </row>
    <row r="61" spans="8:8">
      <c r="H61" s="43"/>
    </row>
    <row r="62" spans="8:8">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0" location="ckAwd!AT1" tooltip="Filter out blanks." display="ckAwd"/>
    <hyperlink ref="N21" location="ckAwd!AE1" tooltip="See countries from cover and total frgn_trav bugdet" display="ckAwd"/>
    <hyperlink ref="N22" location="ckAwd!Z1" display="ckAwd"/>
    <hyperlink ref="N15" location="RAData!W1" display="RAData"/>
    <hyperlink ref="N28" location="ckSplits!A1" display="ckSplits"/>
    <hyperlink ref="N17" location="ckCoding!M1" display="ckCoding"/>
    <hyperlink ref="N19" location="ckCoding!C1" tooltip="Comparison throughout tab" display="ckCoding"/>
    <hyperlink ref="N18" location="ckCoding!AE1"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3</xdr:col>
                    <xdr:colOff>201386</xdr:colOff>
                    <xdr:row>2</xdr:row>
                    <xdr:rowOff>21771</xdr:rowOff>
                  </from>
                  <to>
                    <xdr:col>5</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7"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8"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9"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10"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1" name="cbConfirmActions">
              <controlPr defaultSize="0" autoFill="0" autoLine="0" autoPict="0">
                <anchor moveWithCells="1">
                  <from>
                    <xdr:col>11</xdr:col>
                    <xdr:colOff>174171</xdr:colOff>
                    <xdr:row>2</xdr:row>
                    <xdr:rowOff>87086</xdr:rowOff>
                  </from>
                  <to>
                    <xdr:col>12</xdr:col>
                    <xdr:colOff>1888671</xdr:colOff>
                    <xdr:row>3</xdr:row>
                    <xdr:rowOff>65314</xdr:rowOff>
                  </to>
                </anchor>
              </controlPr>
            </control>
          </mc:Choice>
        </mc:AlternateContent>
        <mc:AlternateContent xmlns:mc="http://schemas.openxmlformats.org/markup-compatibility/2006">
          <mc:Choice Requires="x14">
            <control shapeId="16402" r:id="rId12"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3"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144"/>
  <sheetViews>
    <sheetView zoomScale="98" zoomScaleNormal="98" workbookViewId="0">
      <selection activeCell="Q29" sqref="Q29"/>
    </sheetView>
  </sheetViews>
  <sheetFormatPr defaultRowHeight="14.6"/>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3.3828125" style="22"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c r="A1" s="17" t="s">
        <v>87</v>
      </c>
      <c r="B1" s="30" t="s">
        <v>7</v>
      </c>
      <c r="C1" t="s">
        <v>8</v>
      </c>
      <c r="D1" t="s">
        <v>5</v>
      </c>
      <c r="E1" t="s">
        <v>4</v>
      </c>
      <c r="F1" t="s">
        <v>166</v>
      </c>
      <c r="G1" t="s">
        <v>164</v>
      </c>
      <c r="H1" s="90" t="s">
        <v>92</v>
      </c>
      <c r="I1" s="39" t="s">
        <v>126</v>
      </c>
      <c r="J1" s="39" t="s">
        <v>127</v>
      </c>
      <c r="K1" t="s">
        <v>17</v>
      </c>
      <c r="L1" t="s">
        <v>91</v>
      </c>
      <c r="M1" t="s">
        <v>93</v>
      </c>
      <c r="N1" t="s">
        <v>451</v>
      </c>
      <c r="O1" t="s">
        <v>452</v>
      </c>
      <c r="P1" s="21" t="s">
        <v>453</v>
      </c>
      <c r="Q1" t="s">
        <v>318</v>
      </c>
      <c r="R1" s="22" t="s">
        <v>16</v>
      </c>
      <c r="S1" s="108" t="s">
        <v>102</v>
      </c>
      <c r="T1" s="21" t="s">
        <v>88</v>
      </c>
      <c r="U1" t="s">
        <v>9</v>
      </c>
      <c r="V1" t="s">
        <v>1</v>
      </c>
      <c r="W1" s="14" t="s">
        <v>144</v>
      </c>
      <c r="X1" t="s">
        <v>0</v>
      </c>
      <c r="Y1" t="s">
        <v>10</v>
      </c>
      <c r="Z1" t="s">
        <v>18</v>
      </c>
      <c r="AA1" t="s">
        <v>317</v>
      </c>
      <c r="AB1" s="110" t="s">
        <v>446</v>
      </c>
      <c r="AC1" s="30" t="s">
        <v>19</v>
      </c>
      <c r="AD1" t="s">
        <v>20</v>
      </c>
      <c r="AE1" s="106" t="s">
        <v>152</v>
      </c>
      <c r="AF1" s="107" t="s">
        <v>319</v>
      </c>
      <c r="AG1" s="106" t="s">
        <v>153</v>
      </c>
      <c r="AH1" t="s">
        <v>321</v>
      </c>
      <c r="AI1" s="26" t="s">
        <v>23</v>
      </c>
      <c r="AJ1" s="22" t="s">
        <v>148</v>
      </c>
      <c r="AK1" s="106" t="s">
        <v>433</v>
      </c>
      <c r="AL1" s="106" t="s">
        <v>320</v>
      </c>
      <c r="AM1" s="106" t="s">
        <v>322</v>
      </c>
      <c r="AN1" s="106" t="s">
        <v>147</v>
      </c>
      <c r="AO1" s="106" t="s">
        <v>323</v>
      </c>
      <c r="AP1" s="106" t="s">
        <v>324</v>
      </c>
      <c r="AQ1" s="106" t="s">
        <v>325</v>
      </c>
      <c r="AR1" t="s">
        <v>512</v>
      </c>
      <c r="AS1" t="s">
        <v>167</v>
      </c>
      <c r="AT1" t="s">
        <v>36</v>
      </c>
      <c r="AU1" t="s">
        <v>454</v>
      </c>
      <c r="AV1" t="s">
        <v>326</v>
      </c>
      <c r="AW1" t="s">
        <v>21</v>
      </c>
      <c r="AX1" t="s">
        <v>22</v>
      </c>
      <c r="AY1" t="s">
        <v>327</v>
      </c>
      <c r="AZ1" t="s">
        <v>328</v>
      </c>
      <c r="BA1" t="s">
        <v>329</v>
      </c>
      <c r="BB1" t="s">
        <v>330</v>
      </c>
      <c r="BC1" t="s">
        <v>331</v>
      </c>
      <c r="BD1" t="s">
        <v>332</v>
      </c>
      <c r="BE1" t="s">
        <v>333</v>
      </c>
      <c r="BF1" t="s">
        <v>334</v>
      </c>
      <c r="BG1" t="s">
        <v>335</v>
      </c>
      <c r="BH1" t="s">
        <v>134</v>
      </c>
      <c r="BI1" t="s">
        <v>135</v>
      </c>
      <c r="BJ1" t="s">
        <v>137</v>
      </c>
      <c r="BK1" t="s">
        <v>136</v>
      </c>
      <c r="BL1" t="s">
        <v>146</v>
      </c>
    </row>
    <row r="2" spans="1:64">
      <c r="A2" s="30">
        <v>42954.663657407407</v>
      </c>
      <c r="B2" s="30">
        <v>42807.46597222222</v>
      </c>
      <c r="C2" t="s">
        <v>1965</v>
      </c>
      <c r="D2" t="s">
        <v>741</v>
      </c>
      <c r="E2" t="s">
        <v>901</v>
      </c>
      <c r="F2" t="s">
        <v>1966</v>
      </c>
      <c r="G2" t="s">
        <v>170</v>
      </c>
      <c r="H2" s="21" t="s">
        <v>94</v>
      </c>
      <c r="I2" s="86">
        <v>1</v>
      </c>
      <c r="J2" s="86">
        <v>0</v>
      </c>
      <c r="K2" t="s">
        <v>1967</v>
      </c>
      <c r="L2" t="s">
        <v>543</v>
      </c>
      <c r="M2" t="s">
        <v>258</v>
      </c>
      <c r="N2" t="str">
        <f>IF(SUM(ckCodingTable[[#This Row],[NfmlPIs]:[NnonWhtAsnPIs]])&gt;0,"WMD","")</f>
        <v/>
      </c>
      <c r="O2" t="b">
        <f>_xlfn.XOR(IFERROR(MATCH(ckCodingTable[[#This Row],[st_code]],EpscorTable[],0)&gt;0,FALSE),IFERROR(FIND("9150",ckCodingTable[[#This Row],[propPRCs]])&gt;0,FALSE))</f>
        <v>0</v>
      </c>
      <c r="P2" s="21" t="b">
        <f>_xlfn.XOR(ckCodingTable[[#This Row],[wmd]]&lt;&gt;"",IFERROR(FIND("9102",ckCodingTable[[#This Row],[propPRCs]])&gt;0,FALSE))</f>
        <v>0</v>
      </c>
      <c r="Q2" t="s">
        <v>1968</v>
      </c>
      <c r="R2" s="22">
        <v>42951.478125000001</v>
      </c>
      <c r="S2" s="108">
        <f>S1+(ckCodingTable[[#This Row],[ILN]]&lt;"M")</f>
        <v>1</v>
      </c>
      <c r="T2" s="21" t="s">
        <v>96</v>
      </c>
      <c r="U2" t="s">
        <v>917</v>
      </c>
      <c r="V2" s="7" t="str">
        <f>HYPERLINK("https://www.ejacket.nsf.gov/ej/showProposal.do?ID="&amp;ckCodingTable[[#This Row],[prop_id]],"eJ")</f>
        <v>eJ</v>
      </c>
      <c r="W2" t="s">
        <v>742</v>
      </c>
      <c r="X2" t="s">
        <v>917</v>
      </c>
      <c r="Y2" t="s">
        <v>918</v>
      </c>
      <c r="Z2" t="s">
        <v>1969</v>
      </c>
      <c r="AA2" t="s">
        <v>1970</v>
      </c>
      <c r="AB2" s="111" t="str">
        <f>HYPERLINK("mailto:"&amp;ckCodingTable[[#This Row],[email]]&amp;"&amp;subject=Your NSF Proposal:  "&amp;ckCodingTable[[#This Row],[Div]]&amp;" "&amp;ckCodingTable[[#This Row],[prop_id]], ckCodingTable[[#This Row],[email]])</f>
        <v>mshub@ccny.cuny.edu</v>
      </c>
      <c r="AC2" s="30">
        <v>42972</v>
      </c>
      <c r="AD2">
        <v>36</v>
      </c>
      <c r="AE2">
        <v>1</v>
      </c>
      <c r="AG2" s="112"/>
      <c r="AH2" t="s">
        <v>813</v>
      </c>
      <c r="AI2" s="26">
        <v>5</v>
      </c>
      <c r="AJ2" s="22">
        <v>42872.504861111112</v>
      </c>
      <c r="AK2"/>
      <c r="AL2">
        <v>3</v>
      </c>
      <c r="AN2" s="112"/>
      <c r="AO2" s="112"/>
      <c r="AP2" s="112"/>
      <c r="AQ2" s="112"/>
      <c r="AR2" s="7" t="str">
        <f>HYPERLINK("https://www.ejacket.nsf.gov/ej/showProposal.do?ID="&amp;ckCodingTable[[#This Row],[prop_id]],"eJ")</f>
        <v>eJ</v>
      </c>
      <c r="AS2" t="s">
        <v>1971</v>
      </c>
      <c r="AT2" t="s">
        <v>1972</v>
      </c>
      <c r="AU2" t="b">
        <f>IF(ckCodingTable[[#This Row],[ILN]]="N",SUBSTITUTE(AT1," ","")&lt;&gt;SUBSTITUTE(ckCodingTable[[#This Row],[prop_titl_txt]]," ",""), FALSE)</f>
        <v>0</v>
      </c>
      <c r="AV2">
        <v>0</v>
      </c>
      <c r="AW2" s="13">
        <v>1485814</v>
      </c>
      <c r="AX2" s="13">
        <v>1485814</v>
      </c>
      <c r="AY2" s="13"/>
      <c r="AZ2" s="13"/>
      <c r="BA2" s="13">
        <v>198926</v>
      </c>
      <c r="BB2" s="13"/>
      <c r="BC2">
        <v>9</v>
      </c>
      <c r="BD2">
        <v>15</v>
      </c>
      <c r="BE2">
        <v>1.95</v>
      </c>
      <c r="BH2">
        <v>0</v>
      </c>
      <c r="BI2">
        <v>0</v>
      </c>
      <c r="BJ2">
        <v>0</v>
      </c>
      <c r="BK2">
        <v>2</v>
      </c>
      <c r="BL2" t="s">
        <v>1973</v>
      </c>
    </row>
    <row r="3" spans="1:64">
      <c r="A3" s="30">
        <v>42930.63244212963</v>
      </c>
      <c r="B3" s="30">
        <v>42807.490277777775</v>
      </c>
      <c r="C3" t="s">
        <v>1965</v>
      </c>
      <c r="D3" t="s">
        <v>741</v>
      </c>
      <c r="E3" t="s">
        <v>901</v>
      </c>
      <c r="F3" t="s">
        <v>1974</v>
      </c>
      <c r="G3" t="s">
        <v>170</v>
      </c>
      <c r="H3" s="21" t="s">
        <v>94</v>
      </c>
      <c r="I3" s="86">
        <v>1</v>
      </c>
      <c r="J3" s="86">
        <v>0</v>
      </c>
      <c r="K3" t="s">
        <v>1967</v>
      </c>
      <c r="L3" t="s">
        <v>948</v>
      </c>
      <c r="M3" t="s">
        <v>255</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1968</v>
      </c>
      <c r="R3" s="22">
        <v>42929.447754629633</v>
      </c>
      <c r="S3" s="108">
        <f>S2+(ckCodingTable[[#This Row],[ILN]]&lt;"M")</f>
        <v>2</v>
      </c>
      <c r="T3" s="21" t="s">
        <v>96</v>
      </c>
      <c r="U3" t="s">
        <v>940</v>
      </c>
      <c r="V3" s="7" t="str">
        <f>HYPERLINK("https://www.ejacket.nsf.gov/ej/showProposal.do?ID="&amp;ckCodingTable[[#This Row],[prop_id]],"eJ")</f>
        <v>eJ</v>
      </c>
      <c r="W3" t="s">
        <v>742</v>
      </c>
      <c r="X3" t="s">
        <v>940</v>
      </c>
      <c r="Y3" t="s">
        <v>941</v>
      </c>
      <c r="Z3" t="s">
        <v>1975</v>
      </c>
      <c r="AA3" t="s">
        <v>244</v>
      </c>
      <c r="AB3" s="111" t="str">
        <f>HYPERLINK("mailto:"&amp;ckCodingTable[[#This Row],[email]]&amp;"&amp;subject=Your NSF Proposal:  "&amp;ckCodingTable[[#This Row],[Div]]&amp;" "&amp;ckCodingTable[[#This Row],[prop_id]], ckCodingTable[[#This Row],[email]])</f>
        <v>sham@cs.washington.edu</v>
      </c>
      <c r="AC3" s="30">
        <v>42994</v>
      </c>
      <c r="AD3">
        <v>36</v>
      </c>
      <c r="AE3">
        <v>1</v>
      </c>
      <c r="AG3" s="112"/>
      <c r="AH3" t="s">
        <v>1976</v>
      </c>
      <c r="AI3" s="26">
        <v>7.333333333333333</v>
      </c>
      <c r="AJ3" s="22">
        <v>42878.486111111109</v>
      </c>
      <c r="AK3">
        <v>1</v>
      </c>
      <c r="AL3">
        <v>3</v>
      </c>
      <c r="AN3" s="112"/>
      <c r="AO3" s="112"/>
      <c r="AP3" s="112"/>
      <c r="AQ3" s="112"/>
      <c r="AR3" s="7" t="str">
        <f>HYPERLINK("https://www.ejacket.nsf.gov/ej/showProposal.do?ID="&amp;ckCodingTable[[#This Row],[prop_id]],"eJ")</f>
        <v>eJ</v>
      </c>
      <c r="AS3" t="s">
        <v>1977</v>
      </c>
      <c r="AT3" t="s">
        <v>1978</v>
      </c>
      <c r="AU3" t="b">
        <f>IF(ckCodingTable[[#This Row],[ILN]]="N",SUBSTITUTE(AT2," ","")&lt;&gt;SUBSTITUTE(ckCodingTable[[#This Row],[prop_titl_txt]]," ",""), FALSE)</f>
        <v>0</v>
      </c>
      <c r="AV3">
        <v>0</v>
      </c>
      <c r="AW3" s="13">
        <v>1500000</v>
      </c>
      <c r="AX3" s="13">
        <v>1500000</v>
      </c>
      <c r="AY3" s="13"/>
      <c r="AZ3" s="13">
        <v>66000</v>
      </c>
      <c r="BA3" s="13">
        <v>144000</v>
      </c>
      <c r="BB3" s="13"/>
      <c r="BC3">
        <v>14</v>
      </c>
      <c r="BD3">
        <v>15</v>
      </c>
      <c r="BE3">
        <v>6.75</v>
      </c>
      <c r="BH3">
        <v>2</v>
      </c>
      <c r="BI3">
        <v>0</v>
      </c>
      <c r="BJ3">
        <v>0</v>
      </c>
      <c r="BK3">
        <v>0</v>
      </c>
      <c r="BL3" t="s">
        <v>1979</v>
      </c>
    </row>
    <row r="4" spans="1:64">
      <c r="A4" s="30">
        <v>42957.678148148145</v>
      </c>
      <c r="B4" s="30">
        <v>42807.553472222222</v>
      </c>
      <c r="C4" t="s">
        <v>1965</v>
      </c>
      <c r="D4" t="s">
        <v>741</v>
      </c>
      <c r="E4" t="s">
        <v>901</v>
      </c>
      <c r="F4" t="s">
        <v>1966</v>
      </c>
      <c r="G4" t="s">
        <v>170</v>
      </c>
      <c r="H4" s="21" t="s">
        <v>94</v>
      </c>
      <c r="I4" s="86">
        <v>1</v>
      </c>
      <c r="J4" s="86">
        <v>0</v>
      </c>
      <c r="K4" t="s">
        <v>1967</v>
      </c>
      <c r="L4" t="s">
        <v>540</v>
      </c>
      <c r="M4" t="s">
        <v>1980</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1968</v>
      </c>
      <c r="R4" s="22">
        <v>42914.640243055554</v>
      </c>
      <c r="S4" s="108">
        <f>S3+(ckCodingTable[[#This Row],[ILN]]&lt;"M")</f>
        <v>3</v>
      </c>
      <c r="T4" s="21" t="s">
        <v>1981</v>
      </c>
      <c r="U4" t="s">
        <v>972</v>
      </c>
      <c r="V4" s="7" t="str">
        <f>HYPERLINK("https://www.ejacket.nsf.gov/ej/showProposal.do?ID="&amp;ckCodingTable[[#This Row],[prop_id]],"eJ")</f>
        <v>eJ</v>
      </c>
      <c r="W4" t="s">
        <v>742</v>
      </c>
      <c r="X4" t="s">
        <v>972</v>
      </c>
      <c r="Y4" t="s">
        <v>973</v>
      </c>
      <c r="Z4" t="s">
        <v>1982</v>
      </c>
      <c r="AA4" t="s">
        <v>1983</v>
      </c>
      <c r="AB4" s="111" t="str">
        <f>HYPERLINK("mailto:"&amp;ckCodingTable[[#This Row],[email]]&amp;"&amp;subject=Your NSF Proposal:  "&amp;ckCodingTable[[#This Row],[Div]]&amp;" "&amp;ckCodingTable[[#This Row],[prop_id]], ckCodingTable[[#This Row],[email]])</f>
        <v>ccraini1@jhu.edu</v>
      </c>
      <c r="AC4" s="30">
        <v>42948</v>
      </c>
      <c r="AD4">
        <v>36</v>
      </c>
      <c r="AE4">
        <v>1</v>
      </c>
      <c r="AF4">
        <v>1</v>
      </c>
      <c r="AG4" s="112"/>
      <c r="AH4" t="s">
        <v>1984</v>
      </c>
      <c r="AI4" s="26">
        <v>4.333333333333333</v>
      </c>
      <c r="AJ4" s="22">
        <v>42872.39166666667</v>
      </c>
      <c r="AK4"/>
      <c r="AL4">
        <v>3</v>
      </c>
      <c r="AN4" s="112"/>
      <c r="AO4" s="112">
        <v>2</v>
      </c>
      <c r="AP4" s="112">
        <v>2</v>
      </c>
      <c r="AQ4" s="112"/>
      <c r="AR4" s="7" t="str">
        <f>HYPERLINK("https://www.ejacket.nsf.gov/ej/showProposal.do?ID="&amp;ckCodingTable[[#This Row],[prop_id]],"eJ")</f>
        <v>eJ</v>
      </c>
      <c r="AS4" t="s">
        <v>1971</v>
      </c>
      <c r="AT4" t="s">
        <v>1985</v>
      </c>
      <c r="AU4" t="b">
        <f>IF(ckCodingTable[[#This Row],[ILN]]="N",SUBSTITUTE(AT3," ","")&lt;&gt;SUBSTITUTE(ckCodingTable[[#This Row],[prop_titl_txt]]," ",""), FALSE)</f>
        <v>0</v>
      </c>
      <c r="AV4">
        <v>0</v>
      </c>
      <c r="AW4" s="13">
        <v>748969</v>
      </c>
      <c r="AX4" s="13">
        <v>748969</v>
      </c>
      <c r="AY4" s="13"/>
      <c r="AZ4" s="13"/>
      <c r="BA4" s="13">
        <v>165000</v>
      </c>
      <c r="BB4" s="13"/>
      <c r="BD4">
        <v>6</v>
      </c>
      <c r="BG4">
        <v>9</v>
      </c>
      <c r="BH4">
        <v>0</v>
      </c>
      <c r="BI4">
        <v>0</v>
      </c>
      <c r="BJ4">
        <v>0</v>
      </c>
      <c r="BK4">
        <v>0</v>
      </c>
      <c r="BL4" t="s">
        <v>1986</v>
      </c>
    </row>
    <row r="5" spans="1:64">
      <c r="A5" s="30">
        <v>42957.678148148145</v>
      </c>
      <c r="B5" s="30">
        <v>42807.668055555558</v>
      </c>
      <c r="C5" t="s">
        <v>1965</v>
      </c>
      <c r="D5" t="s">
        <v>741</v>
      </c>
      <c r="E5" t="s">
        <v>901</v>
      </c>
      <c r="F5" t="s">
        <v>1966</v>
      </c>
      <c r="G5" t="s">
        <v>170</v>
      </c>
      <c r="H5" s="21" t="s">
        <v>94</v>
      </c>
      <c r="I5" s="86">
        <v>1</v>
      </c>
      <c r="J5" s="86">
        <v>0</v>
      </c>
      <c r="K5" t="s">
        <v>1967</v>
      </c>
      <c r="L5" t="s">
        <v>540</v>
      </c>
      <c r="M5" t="s">
        <v>1988</v>
      </c>
      <c r="N5" t="str">
        <f>IF(SUM(ckCodingTable[[#This Row],[NfmlPIs]:[NnonWhtAsnPIs]])&gt;0,"WMD","")</f>
        <v>WMD</v>
      </c>
      <c r="O5" t="b">
        <f>_xlfn.XOR(IFERROR(MATCH(ckCodingTable[[#This Row],[st_code]],EpscorTable[],0)&gt;0,FALSE),IFERROR(FIND("9150",ckCodingTable[[#This Row],[propPRCs]])&gt;0,FALSE))</f>
        <v>1</v>
      </c>
      <c r="P5" s="21" t="b">
        <f>_xlfn.XOR(ckCodingTable[[#This Row],[wmd]]&lt;&gt;"",IFERROR(FIND("9102",ckCodingTable[[#This Row],[propPRCs]])&gt;0,FALSE))</f>
        <v>0</v>
      </c>
      <c r="Q5" t="s">
        <v>1987</v>
      </c>
      <c r="R5" s="22">
        <v>42914.640243055554</v>
      </c>
      <c r="S5" s="108">
        <f>S4+(ckCodingTable[[#This Row],[ILN]]&lt;"M")</f>
        <v>3</v>
      </c>
      <c r="T5" s="21" t="s">
        <v>1989</v>
      </c>
      <c r="U5" t="s">
        <v>972</v>
      </c>
      <c r="V5" s="7" t="str">
        <f>HYPERLINK("https://www.ejacket.nsf.gov/ej/showProposal.do?ID="&amp;ckCodingTable[[#This Row],[prop_id]],"eJ")</f>
        <v>eJ</v>
      </c>
      <c r="W5" t="s">
        <v>742</v>
      </c>
      <c r="X5" t="s">
        <v>1990</v>
      </c>
      <c r="Y5" t="s">
        <v>1991</v>
      </c>
      <c r="Z5" t="s">
        <v>1992</v>
      </c>
      <c r="AA5" t="s">
        <v>1993</v>
      </c>
      <c r="AB5" s="111" t="str">
        <f>HYPERLINK("mailto:"&amp;ckCodingTable[[#This Row],[email]]&amp;"&amp;subject=Your NSF Proposal:  "&amp;ckCodingTable[[#This Row],[Div]]&amp;" "&amp;ckCodingTable[[#This Row],[prop_id]], ckCodingTable[[#This Row],[email]])</f>
        <v>ekaterina.smirnova@mso.umt.edu</v>
      </c>
      <c r="AC5" s="30">
        <v>42948</v>
      </c>
      <c r="AD5">
        <v>36</v>
      </c>
      <c r="AG5" s="112"/>
      <c r="AI5" s="26"/>
      <c r="AJ5" s="22"/>
      <c r="AK5"/>
      <c r="AN5" s="112"/>
      <c r="AO5" s="112"/>
      <c r="AP5" s="112"/>
      <c r="AQ5" s="112"/>
      <c r="AR5" s="7" t="str">
        <f>HYPERLINK("https://www.ejacket.nsf.gov/ej/showProposal.do?ID="&amp;ckCodingTable[[#This Row],[prop_id]],"eJ")</f>
        <v>eJ</v>
      </c>
      <c r="AS5" t="s">
        <v>1971</v>
      </c>
      <c r="AT5" t="s">
        <v>1985</v>
      </c>
      <c r="AU5" t="b">
        <f>IF(ckCodingTable[[#This Row],[ILN]]="N",SUBSTITUTE(AT4," ","")&lt;&gt;SUBSTITUTE(ckCodingTable[[#This Row],[prop_titl_txt]]," ",""), FALSE)</f>
        <v>0</v>
      </c>
      <c r="AV5">
        <v>0</v>
      </c>
      <c r="AW5" s="13">
        <v>374812</v>
      </c>
      <c r="AX5" s="13">
        <v>374812</v>
      </c>
      <c r="AY5" s="13"/>
      <c r="AZ5" s="13"/>
      <c r="BA5" s="13"/>
      <c r="BB5" s="13"/>
      <c r="BC5">
        <v>6</v>
      </c>
      <c r="BD5">
        <v>3</v>
      </c>
      <c r="BE5">
        <v>6</v>
      </c>
      <c r="BH5">
        <v>2</v>
      </c>
      <c r="BI5">
        <v>0</v>
      </c>
      <c r="BJ5">
        <v>0</v>
      </c>
      <c r="BK5">
        <v>0</v>
      </c>
      <c r="BL5" t="s">
        <v>1994</v>
      </c>
    </row>
    <row r="6" spans="1:64">
      <c r="A6" s="30">
        <v>42957.678148148145</v>
      </c>
      <c r="B6" s="30">
        <v>42807.717361111114</v>
      </c>
      <c r="C6" t="s">
        <v>1965</v>
      </c>
      <c r="D6" t="s">
        <v>741</v>
      </c>
      <c r="E6" t="s">
        <v>901</v>
      </c>
      <c r="F6" t="s">
        <v>1966</v>
      </c>
      <c r="G6" t="s">
        <v>170</v>
      </c>
      <c r="H6" s="21" t="s">
        <v>94</v>
      </c>
      <c r="I6" s="86">
        <v>1</v>
      </c>
      <c r="J6" s="86">
        <v>0</v>
      </c>
      <c r="K6" t="s">
        <v>1967</v>
      </c>
      <c r="L6" t="s">
        <v>540</v>
      </c>
      <c r="M6" t="s">
        <v>125</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1995</v>
      </c>
      <c r="R6" s="22">
        <v>42914.640243055554</v>
      </c>
      <c r="S6" s="108">
        <f>S5+(ckCodingTable[[#This Row],[ILN]]&lt;"M")</f>
        <v>3</v>
      </c>
      <c r="T6" s="21" t="s">
        <v>1989</v>
      </c>
      <c r="U6" t="s">
        <v>972</v>
      </c>
      <c r="V6" s="7" t="str">
        <f>HYPERLINK("https://www.ejacket.nsf.gov/ej/showProposal.do?ID="&amp;ckCodingTable[[#This Row],[prop_id]],"eJ")</f>
        <v>eJ</v>
      </c>
      <c r="W6" t="s">
        <v>742</v>
      </c>
      <c r="X6" t="s">
        <v>1996</v>
      </c>
      <c r="Y6" t="s">
        <v>1997</v>
      </c>
      <c r="Z6" t="s">
        <v>1998</v>
      </c>
      <c r="AA6" t="s">
        <v>1999</v>
      </c>
      <c r="AB6" s="111" t="str">
        <f>HYPERLINK("mailto:"&amp;ckCodingTable[[#This Row],[email]]&amp;"&amp;subject=Your NSF Proposal:  "&amp;ckCodingTable[[#This Row],[Div]]&amp;" "&amp;ckCodingTable[[#This Row],[prop_id]], ckCodingTable[[#This Row],[email]])</f>
        <v>fjafari@uwyo.edu</v>
      </c>
      <c r="AC6" s="30">
        <v>42948</v>
      </c>
      <c r="AD6">
        <v>36</v>
      </c>
      <c r="AG6" s="112"/>
      <c r="AI6" s="26"/>
      <c r="AJ6" s="22"/>
      <c r="AK6"/>
      <c r="AN6" s="112"/>
      <c r="AO6" s="112"/>
      <c r="AP6" s="112"/>
      <c r="AQ6" s="112"/>
      <c r="AR6" s="7" t="str">
        <f>HYPERLINK("https://www.ejacket.nsf.gov/ej/showProposal.do?ID="&amp;ckCodingTable[[#This Row],[prop_id]],"eJ")</f>
        <v>eJ</v>
      </c>
      <c r="AS6" t="s">
        <v>1971</v>
      </c>
      <c r="AT6" t="s">
        <v>1985</v>
      </c>
      <c r="AU6" t="b">
        <f>IF(ckCodingTable[[#This Row],[ILN]]="N",SUBSTITUTE(AT5," ","")&lt;&gt;SUBSTITUTE(ckCodingTable[[#This Row],[prop_titl_txt]]," ",""), FALSE)</f>
        <v>0</v>
      </c>
      <c r="AV6">
        <v>0</v>
      </c>
      <c r="AW6" s="13">
        <v>372322</v>
      </c>
      <c r="AX6" s="13">
        <v>372322</v>
      </c>
      <c r="AY6" s="13"/>
      <c r="AZ6" s="13"/>
      <c r="BA6" s="13"/>
      <c r="BB6" s="13"/>
      <c r="BC6">
        <v>6</v>
      </c>
      <c r="BD6">
        <v>3</v>
      </c>
      <c r="BE6">
        <v>4.05</v>
      </c>
      <c r="BH6">
        <v>0</v>
      </c>
      <c r="BI6">
        <v>0</v>
      </c>
      <c r="BJ6">
        <v>0</v>
      </c>
      <c r="BK6">
        <v>0</v>
      </c>
      <c r="BL6" t="s">
        <v>2000</v>
      </c>
    </row>
    <row r="7" spans="1:64">
      <c r="A7" s="30">
        <v>42955.353391203702</v>
      </c>
      <c r="B7" s="30">
        <v>42807.602777777778</v>
      </c>
      <c r="C7" t="s">
        <v>1965</v>
      </c>
      <c r="D7" t="s">
        <v>741</v>
      </c>
      <c r="E7" t="s">
        <v>901</v>
      </c>
      <c r="F7" t="s">
        <v>1966</v>
      </c>
      <c r="G7" t="s">
        <v>170</v>
      </c>
      <c r="H7" s="21" t="s">
        <v>94</v>
      </c>
      <c r="I7" s="86">
        <v>1</v>
      </c>
      <c r="J7" s="86">
        <v>0</v>
      </c>
      <c r="K7" t="s">
        <v>1967</v>
      </c>
      <c r="L7" t="s">
        <v>543</v>
      </c>
      <c r="M7" t="s">
        <v>2001</v>
      </c>
      <c r="N7" t="str">
        <f>IF(SUM(ckCodingTable[[#This Row],[NfmlPIs]:[NnonWhtAsnPIs]])&gt;0,"WMD","")</f>
        <v>WMD</v>
      </c>
      <c r="O7" t="b">
        <f>_xlfn.XOR(IFERROR(MATCH(ckCodingTable[[#This Row],[st_code]],EpscorTable[],0)&gt;0,FALSE),IFERROR(FIND("9150",ckCodingTable[[#This Row],[propPRCs]])&gt;0,FALSE))</f>
        <v>0</v>
      </c>
      <c r="P7" s="21" t="b">
        <f>_xlfn.XOR(ckCodingTable[[#This Row],[wmd]]&lt;&gt;"",IFERROR(FIND("9102",ckCodingTable[[#This Row],[propPRCs]])&gt;0,FALSE))</f>
        <v>1</v>
      </c>
      <c r="Q7" t="s">
        <v>1968</v>
      </c>
      <c r="R7" s="22">
        <v>42951.514120370368</v>
      </c>
      <c r="S7" s="108">
        <f>S6+(ckCodingTable[[#This Row],[ILN]]&lt;"M")</f>
        <v>4</v>
      </c>
      <c r="T7" s="21" t="s">
        <v>1981</v>
      </c>
      <c r="U7" t="s">
        <v>985</v>
      </c>
      <c r="V7" s="7" t="str">
        <f>HYPERLINK("https://www.ejacket.nsf.gov/ej/showProposal.do?ID="&amp;ckCodingTable[[#This Row],[prop_id]],"eJ")</f>
        <v>eJ</v>
      </c>
      <c r="W7" t="s">
        <v>742</v>
      </c>
      <c r="X7" t="s">
        <v>985</v>
      </c>
      <c r="Y7" t="s">
        <v>986</v>
      </c>
      <c r="Z7" t="s">
        <v>2002</v>
      </c>
      <c r="AA7" t="s">
        <v>2003</v>
      </c>
      <c r="AB7" s="111" t="str">
        <f>HYPERLINK("mailto:"&amp;ckCodingTable[[#This Row],[email]]&amp;"&amp;subject=Your NSF Proposal:  "&amp;ckCodingTable[[#This Row],[Div]]&amp;" "&amp;ckCodingTable[[#This Row],[prop_id]], ckCodingTable[[#This Row],[email]])</f>
        <v>kfs7@georgetown.edu</v>
      </c>
      <c r="AC7" s="30">
        <v>42979</v>
      </c>
      <c r="AD7">
        <v>36</v>
      </c>
      <c r="AE7">
        <v>1</v>
      </c>
      <c r="AF7">
        <v>1</v>
      </c>
      <c r="AG7" s="112"/>
      <c r="AH7" t="s">
        <v>2004</v>
      </c>
      <c r="AI7" s="26">
        <v>3.6666666666666665</v>
      </c>
      <c r="AJ7" s="22">
        <v>42872.458333333336</v>
      </c>
      <c r="AK7"/>
      <c r="AL7">
        <v>3</v>
      </c>
      <c r="AN7" s="112"/>
      <c r="AO7" s="112"/>
      <c r="AP7" s="112"/>
      <c r="AQ7" s="112"/>
      <c r="AR7" s="7" t="str">
        <f>HYPERLINK("https://www.ejacket.nsf.gov/ej/showProposal.do?ID="&amp;ckCodingTable[[#This Row],[prop_id]],"eJ")</f>
        <v>eJ</v>
      </c>
      <c r="AS7" t="s">
        <v>1971</v>
      </c>
      <c r="AT7" t="s">
        <v>2005</v>
      </c>
      <c r="AU7" t="b">
        <f>IF(ckCodingTable[[#This Row],[ILN]]="N",SUBSTITUTE(AT6," ","")&lt;&gt;SUBSTITUTE(ckCodingTable[[#This Row],[prop_titl_txt]]," ",""), FALSE)</f>
        <v>0</v>
      </c>
      <c r="AV7">
        <v>0</v>
      </c>
      <c r="AW7" s="13">
        <v>1221000</v>
      </c>
      <c r="AX7" s="13">
        <v>1221000</v>
      </c>
      <c r="AY7" s="13"/>
      <c r="AZ7" s="13"/>
      <c r="BA7" s="13">
        <v>106100</v>
      </c>
      <c r="BB7" s="13">
        <v>70000</v>
      </c>
      <c r="BC7">
        <v>6</v>
      </c>
      <c r="BD7">
        <v>15</v>
      </c>
      <c r="BE7">
        <v>15</v>
      </c>
      <c r="BH7">
        <v>2</v>
      </c>
      <c r="BI7">
        <v>0</v>
      </c>
      <c r="BJ7">
        <v>1</v>
      </c>
      <c r="BK7">
        <v>0</v>
      </c>
      <c r="BL7" t="s">
        <v>2006</v>
      </c>
    </row>
    <row r="8" spans="1:64">
      <c r="A8" s="30">
        <v>42955.353391203702</v>
      </c>
      <c r="B8" s="30">
        <v>42804.649305555555</v>
      </c>
      <c r="C8" t="s">
        <v>1965</v>
      </c>
      <c r="D8" t="s">
        <v>741</v>
      </c>
      <c r="E8" t="s">
        <v>901</v>
      </c>
      <c r="F8" t="s">
        <v>1966</v>
      </c>
      <c r="G8" t="s">
        <v>170</v>
      </c>
      <c r="H8" s="21" t="s">
        <v>94</v>
      </c>
      <c r="I8" s="86">
        <v>1</v>
      </c>
      <c r="J8" s="86">
        <v>0</v>
      </c>
      <c r="K8" t="s">
        <v>1967</v>
      </c>
      <c r="L8" t="s">
        <v>543</v>
      </c>
      <c r="M8" t="s">
        <v>2001</v>
      </c>
      <c r="N8" t="str">
        <f>IF(SUM(ckCodingTable[[#This Row],[NfmlPIs]:[NnonWhtAsnPIs]])&gt;0,"WMD","")</f>
        <v>WMD</v>
      </c>
      <c r="O8" t="b">
        <f>_xlfn.XOR(IFERROR(MATCH(ckCodingTable[[#This Row],[st_code]],EpscorTable[],0)&gt;0,FALSE),IFERROR(FIND("9150",ckCodingTable[[#This Row],[propPRCs]])&gt;0,FALSE))</f>
        <v>0</v>
      </c>
      <c r="P8" s="21" t="b">
        <f>_xlfn.XOR(ckCodingTable[[#This Row],[wmd]]&lt;&gt;"",IFERROR(FIND("9102",ckCodingTable[[#This Row],[propPRCs]])&gt;0,FALSE))</f>
        <v>0</v>
      </c>
      <c r="Q8" t="s">
        <v>2007</v>
      </c>
      <c r="R8" s="22">
        <v>42951.514120370368</v>
      </c>
      <c r="S8" s="108">
        <f>S7+(ckCodingTable[[#This Row],[ILN]]&lt;"M")</f>
        <v>4</v>
      </c>
      <c r="T8" s="21" t="s">
        <v>1989</v>
      </c>
      <c r="U8" t="s">
        <v>985</v>
      </c>
      <c r="V8" s="7" t="str">
        <f>HYPERLINK("https://www.ejacket.nsf.gov/ej/showProposal.do?ID="&amp;ckCodingTable[[#This Row],[prop_id]],"eJ")</f>
        <v>eJ</v>
      </c>
      <c r="W8" t="s">
        <v>742</v>
      </c>
      <c r="X8" t="s">
        <v>2008</v>
      </c>
      <c r="Y8" t="s">
        <v>2009</v>
      </c>
      <c r="Z8" t="s">
        <v>2010</v>
      </c>
      <c r="AA8" t="s">
        <v>2011</v>
      </c>
      <c r="AB8" s="111" t="str">
        <f>HYPERLINK("mailto:"&amp;ckCodingTable[[#This Row],[email]]&amp;"&amp;subject=Your NSF Proposal:  "&amp;ckCodingTable[[#This Row],[Div]]&amp;" "&amp;ckCodingTable[[#This Row],[prop_id]], ckCodingTable[[#This Row],[email]])</f>
        <v>cmontel@gwu.edu</v>
      </c>
      <c r="AC8" s="30">
        <v>42979</v>
      </c>
      <c r="AD8">
        <v>36</v>
      </c>
      <c r="AG8" s="112"/>
      <c r="AI8" s="26"/>
      <c r="AJ8" s="22"/>
      <c r="AK8"/>
      <c r="AN8" s="112"/>
      <c r="AO8" s="112"/>
      <c r="AP8" s="112"/>
      <c r="AQ8" s="112"/>
      <c r="AR8" s="7" t="str">
        <f>HYPERLINK("https://www.ejacket.nsf.gov/ej/showProposal.do?ID="&amp;ckCodingTable[[#This Row],[prop_id]],"eJ")</f>
        <v>eJ</v>
      </c>
      <c r="AS8" t="s">
        <v>1971</v>
      </c>
      <c r="AT8" t="s">
        <v>2005</v>
      </c>
      <c r="AU8" t="b">
        <f>IF(ckCodingTable[[#This Row],[ILN]]="N",SUBSTITUTE(AT7," ","")&lt;&gt;SUBSTITUTE(ckCodingTable[[#This Row],[prop_titl_txt]]," ",""), FALSE)</f>
        <v>0</v>
      </c>
      <c r="AV8">
        <v>0</v>
      </c>
      <c r="AW8" s="13">
        <v>279000</v>
      </c>
      <c r="AX8" s="13">
        <v>279000</v>
      </c>
      <c r="AY8" s="13"/>
      <c r="AZ8" s="13">
        <v>9000</v>
      </c>
      <c r="BA8" s="13"/>
      <c r="BB8" s="13"/>
      <c r="BC8">
        <v>3</v>
      </c>
      <c r="BD8">
        <v>3</v>
      </c>
      <c r="BE8">
        <v>1.44</v>
      </c>
      <c r="BH8">
        <v>1</v>
      </c>
      <c r="BI8">
        <v>0</v>
      </c>
      <c r="BJ8">
        <v>0</v>
      </c>
      <c r="BK8">
        <v>0</v>
      </c>
      <c r="BL8" t="s">
        <v>2012</v>
      </c>
    </row>
    <row r="9" spans="1:64">
      <c r="A9" s="30">
        <v>42957.713506944441</v>
      </c>
      <c r="B9" s="30">
        <v>42807.631944444445</v>
      </c>
      <c r="C9" t="s">
        <v>1965</v>
      </c>
      <c r="D9" t="s">
        <v>741</v>
      </c>
      <c r="E9" t="s">
        <v>901</v>
      </c>
      <c r="F9" t="s">
        <v>1966</v>
      </c>
      <c r="G9" t="s">
        <v>170</v>
      </c>
      <c r="H9" s="21" t="s">
        <v>94</v>
      </c>
      <c r="I9" s="86">
        <v>1</v>
      </c>
      <c r="J9" s="86">
        <v>0</v>
      </c>
      <c r="K9" t="s">
        <v>1967</v>
      </c>
      <c r="L9" t="s">
        <v>942</v>
      </c>
      <c r="M9" t="s">
        <v>893</v>
      </c>
      <c r="N9" t="str">
        <f>IF(SUM(ckCodingTable[[#This Row],[NfmlPIs]:[NnonWhtAsnPIs]])&gt;0,"WMD","")</f>
        <v/>
      </c>
      <c r="O9" t="b">
        <f>_xlfn.XOR(IFERROR(MATCH(ckCodingTable[[#This Row],[st_code]],EpscorTable[],0)&gt;0,FALSE),IFERROR(FIND("9150",ckCodingTable[[#This Row],[propPRCs]])&gt;0,FALSE))</f>
        <v>1</v>
      </c>
      <c r="P9" s="21" t="b">
        <f>_xlfn.XOR(ckCodingTable[[#This Row],[wmd]]&lt;&gt;"",IFERROR(FIND("9102",ckCodingTable[[#This Row],[propPRCs]])&gt;0,FALSE))</f>
        <v>0</v>
      </c>
      <c r="Q9" t="s">
        <v>1995</v>
      </c>
      <c r="R9" s="22">
        <v>42956.50476851852</v>
      </c>
      <c r="S9" s="108">
        <f>S8+(ckCodingTable[[#This Row],[ILN]]&lt;"M")</f>
        <v>5</v>
      </c>
      <c r="T9" s="21" t="s">
        <v>1981</v>
      </c>
      <c r="U9" t="s">
        <v>1002</v>
      </c>
      <c r="V9" s="7" t="str">
        <f>HYPERLINK("https://www.ejacket.nsf.gov/ej/showProposal.do?ID="&amp;ckCodingTable[[#This Row],[prop_id]],"eJ")</f>
        <v>eJ</v>
      </c>
      <c r="W9" t="s">
        <v>742</v>
      </c>
      <c r="X9" t="s">
        <v>1002</v>
      </c>
      <c r="Y9" t="s">
        <v>1003</v>
      </c>
      <c r="Z9" t="s">
        <v>2013</v>
      </c>
      <c r="AA9" t="s">
        <v>2014</v>
      </c>
      <c r="AB9" s="111" t="str">
        <f>HYPERLINK("mailto:"&amp;ckCodingTable[[#This Row],[email]]&amp;"&amp;subject=Your NSF Proposal:  "&amp;ckCodingTable[[#This Row],[Div]]&amp;" "&amp;ckCodingTable[[#This Row],[prop_id]], ckCodingTable[[#This Row],[email]])</f>
        <v>jgill@american.edu</v>
      </c>
      <c r="AC9" s="30">
        <v>43009</v>
      </c>
      <c r="AD9">
        <v>36</v>
      </c>
      <c r="AE9">
        <v>1</v>
      </c>
      <c r="AG9" s="112"/>
      <c r="AH9" t="s">
        <v>2015</v>
      </c>
      <c r="AI9" s="26">
        <v>6</v>
      </c>
      <c r="AJ9" s="22">
        <v>42878.456250000003</v>
      </c>
      <c r="AK9"/>
      <c r="AL9">
        <v>3</v>
      </c>
      <c r="AN9" s="112"/>
      <c r="AO9" s="112"/>
      <c r="AP9" s="112"/>
      <c r="AQ9" s="112"/>
      <c r="AR9" s="7" t="str">
        <f>HYPERLINK("https://www.ejacket.nsf.gov/ej/showProposal.do?ID="&amp;ckCodingTable[[#This Row],[prop_id]],"eJ")</f>
        <v>eJ</v>
      </c>
      <c r="AS9" t="s">
        <v>1971</v>
      </c>
      <c r="AT9" t="s">
        <v>2016</v>
      </c>
      <c r="AU9" t="b">
        <f>IF(ckCodingTable[[#This Row],[ILN]]="N",SUBSTITUTE(AT8," ","")&lt;&gt;SUBSTITUTE(ckCodingTable[[#This Row],[prop_titl_txt]]," ",""), FALSE)</f>
        <v>0</v>
      </c>
      <c r="AV9">
        <v>0</v>
      </c>
      <c r="AW9" s="13">
        <v>792573</v>
      </c>
      <c r="AX9" s="13">
        <v>792573</v>
      </c>
      <c r="AY9" s="13"/>
      <c r="AZ9" s="13">
        <v>12000</v>
      </c>
      <c r="BA9" s="13">
        <v>121650</v>
      </c>
      <c r="BB9" s="13"/>
      <c r="BC9">
        <v>4</v>
      </c>
      <c r="BD9">
        <v>15</v>
      </c>
      <c r="BE9">
        <v>8</v>
      </c>
      <c r="BH9">
        <v>0</v>
      </c>
      <c r="BI9">
        <v>0</v>
      </c>
      <c r="BJ9">
        <v>0</v>
      </c>
      <c r="BK9">
        <v>0</v>
      </c>
      <c r="BL9" t="s">
        <v>2017</v>
      </c>
    </row>
    <row r="10" spans="1:64">
      <c r="A10" s="30">
        <v>42957.713506944441</v>
      </c>
      <c r="B10" s="30">
        <v>42807.65</v>
      </c>
      <c r="C10" t="s">
        <v>1965</v>
      </c>
      <c r="D10" t="s">
        <v>741</v>
      </c>
      <c r="E10" t="s">
        <v>901</v>
      </c>
      <c r="F10" t="s">
        <v>1966</v>
      </c>
      <c r="G10" t="s">
        <v>170</v>
      </c>
      <c r="H10" s="21" t="s">
        <v>94</v>
      </c>
      <c r="I10" s="86">
        <v>1</v>
      </c>
      <c r="J10" s="86">
        <v>0</v>
      </c>
      <c r="K10" t="s">
        <v>1967</v>
      </c>
      <c r="L10" t="s">
        <v>942</v>
      </c>
      <c r="M10" t="s">
        <v>893</v>
      </c>
      <c r="N10" t="str">
        <f>IF(SUM(ckCodingTable[[#This Row],[NfmlPIs]:[NnonWhtAsnPIs]])&gt;0,"WMD","")</f>
        <v>WMD</v>
      </c>
      <c r="O10" t="b">
        <f>_xlfn.XOR(IFERROR(MATCH(ckCodingTable[[#This Row],[st_code]],EpscorTable[],0)&gt;0,FALSE),IFERROR(FIND("9150",ckCodingTable[[#This Row],[propPRCs]])&gt;0,FALSE))</f>
        <v>1</v>
      </c>
      <c r="P10" s="21" t="b">
        <f>_xlfn.XOR(ckCodingTable[[#This Row],[wmd]]&lt;&gt;"",IFERROR(FIND("9102",ckCodingTable[[#This Row],[propPRCs]])&gt;0,FALSE))</f>
        <v>1</v>
      </c>
      <c r="Q10" t="s">
        <v>1995</v>
      </c>
      <c r="R10" s="22">
        <v>42956.50476851852</v>
      </c>
      <c r="S10" s="108">
        <f>S9+(ckCodingTable[[#This Row],[ILN]]&lt;"M")</f>
        <v>5</v>
      </c>
      <c r="T10" s="21" t="s">
        <v>1989</v>
      </c>
      <c r="U10" t="s">
        <v>1002</v>
      </c>
      <c r="V10" s="7" t="str">
        <f>HYPERLINK("https://www.ejacket.nsf.gov/ej/showProposal.do?ID="&amp;ckCodingTable[[#This Row],[prop_id]],"eJ")</f>
        <v>eJ</v>
      </c>
      <c r="W10" t="s">
        <v>742</v>
      </c>
      <c r="X10" t="s">
        <v>1007</v>
      </c>
      <c r="Y10" t="s">
        <v>892</v>
      </c>
      <c r="Z10" t="s">
        <v>894</v>
      </c>
      <c r="AA10" t="s">
        <v>895</v>
      </c>
      <c r="AB10" s="111" t="str">
        <f>HYPERLINK("mailto:"&amp;ckCodingTable[[#This Row],[email]]&amp;"&amp;subject=Your NSF Proposal:  "&amp;ckCodingTable[[#This Row],[Div]]&amp;" "&amp;ckCodingTable[[#This Row],[prop_id]], ckCodingTable[[#This Row],[email]])</f>
        <v>erin.chambers@slu.edu</v>
      </c>
      <c r="AC10" s="30">
        <v>43009</v>
      </c>
      <c r="AD10">
        <v>36</v>
      </c>
      <c r="AG10" s="112"/>
      <c r="AI10" s="26"/>
      <c r="AJ10" s="22"/>
      <c r="AK10"/>
      <c r="AN10" s="112"/>
      <c r="AO10" s="112"/>
      <c r="AP10" s="112"/>
      <c r="AQ10" s="112"/>
      <c r="AR10" s="7" t="str">
        <f>HYPERLINK("https://www.ejacket.nsf.gov/ej/showProposal.do?ID="&amp;ckCodingTable[[#This Row],[prop_id]],"eJ")</f>
        <v>eJ</v>
      </c>
      <c r="AS10" t="s">
        <v>1971</v>
      </c>
      <c r="AT10" t="s">
        <v>2016</v>
      </c>
      <c r="AU10" t="b">
        <f>IF(ckCodingTable[[#This Row],[ILN]]="N",SUBSTITUTE(AT9," ","")&lt;&gt;SUBSTITUTE(ckCodingTable[[#This Row],[prop_titl_txt]]," ",""), FALSE)</f>
        <v>0</v>
      </c>
      <c r="AV10">
        <v>0</v>
      </c>
      <c r="AW10" s="13">
        <v>707058</v>
      </c>
      <c r="AX10" s="13">
        <v>707058</v>
      </c>
      <c r="AY10" s="13"/>
      <c r="AZ10" s="13">
        <v>22500</v>
      </c>
      <c r="BA10" s="13">
        <v>120000</v>
      </c>
      <c r="BB10" s="13">
        <v>35000</v>
      </c>
      <c r="BC10">
        <v>4</v>
      </c>
      <c r="BD10">
        <v>7</v>
      </c>
      <c r="BE10">
        <v>8</v>
      </c>
      <c r="BH10">
        <v>2</v>
      </c>
      <c r="BI10">
        <v>0</v>
      </c>
      <c r="BJ10">
        <v>0</v>
      </c>
      <c r="BK10">
        <v>0</v>
      </c>
      <c r="BL10" t="s">
        <v>896</v>
      </c>
    </row>
    <row r="11" spans="1:64">
      <c r="A11" s="30">
        <v>42955.353842592594</v>
      </c>
      <c r="B11" s="30">
        <v>42807.683333333334</v>
      </c>
      <c r="C11" t="s">
        <v>1965</v>
      </c>
      <c r="D11" t="s">
        <v>741</v>
      </c>
      <c r="E11" t="s">
        <v>901</v>
      </c>
      <c r="F11" t="s">
        <v>1966</v>
      </c>
      <c r="G11" t="s">
        <v>170</v>
      </c>
      <c r="H11" s="21" t="s">
        <v>94</v>
      </c>
      <c r="I11" s="86">
        <v>1</v>
      </c>
      <c r="J11" s="86">
        <v>0</v>
      </c>
      <c r="K11" t="s">
        <v>1967</v>
      </c>
      <c r="L11" t="s">
        <v>543</v>
      </c>
      <c r="M11" t="s">
        <v>2018</v>
      </c>
      <c r="N11" t="str">
        <f>IF(SUM(ckCodingTable[[#This Row],[NfmlPIs]:[NnonWhtAsnPIs]])&gt;0,"WMD","")</f>
        <v>WMD</v>
      </c>
      <c r="O11" t="b">
        <f>_xlfn.XOR(IFERROR(MATCH(ckCodingTable[[#This Row],[st_code]],EpscorTable[],0)&gt;0,FALSE),IFERROR(FIND("9150",ckCodingTable[[#This Row],[propPRCs]])&gt;0,FALSE))</f>
        <v>0</v>
      </c>
      <c r="P11" s="21" t="b">
        <f>_xlfn.XOR(ckCodingTable[[#This Row],[wmd]]&lt;&gt;"",IFERROR(FIND("9102",ckCodingTable[[#This Row],[propPRCs]])&gt;0,FALSE))</f>
        <v>1</v>
      </c>
      <c r="Q11" t="s">
        <v>1968</v>
      </c>
      <c r="R11" s="22">
        <v>42951.518680555557</v>
      </c>
      <c r="S11" s="108">
        <f>S10+(ckCodingTable[[#This Row],[ILN]]&lt;"M")</f>
        <v>6</v>
      </c>
      <c r="T11" s="21" t="s">
        <v>1981</v>
      </c>
      <c r="U11" t="s">
        <v>1023</v>
      </c>
      <c r="V11" s="7" t="str">
        <f>HYPERLINK("https://www.ejacket.nsf.gov/ej/showProposal.do?ID="&amp;ckCodingTable[[#This Row],[prop_id]],"eJ")</f>
        <v>eJ</v>
      </c>
      <c r="W11" t="s">
        <v>742</v>
      </c>
      <c r="X11" t="s">
        <v>1023</v>
      </c>
      <c r="Y11" t="s">
        <v>1024</v>
      </c>
      <c r="Z11" t="s">
        <v>2019</v>
      </c>
      <c r="AA11" t="s">
        <v>2020</v>
      </c>
      <c r="AB11" s="111" t="str">
        <f>HYPERLINK("mailto:"&amp;ckCodingTable[[#This Row],[email]]&amp;"&amp;subject=Your NSF Proposal:  "&amp;ckCodingTable[[#This Row],[Div]]&amp;" "&amp;ckCodingTable[[#This Row],[prop_id]], ckCodingTable[[#This Row],[email]])</f>
        <v>nalini.ravishanker@uconn.edu</v>
      </c>
      <c r="AC11" s="30">
        <v>42979</v>
      </c>
      <c r="AD11">
        <v>36</v>
      </c>
      <c r="AE11">
        <v>1</v>
      </c>
      <c r="AF11">
        <v>1</v>
      </c>
      <c r="AG11" s="112"/>
      <c r="AH11" t="s">
        <v>2021</v>
      </c>
      <c r="AI11" s="26">
        <v>4.666666666666667</v>
      </c>
      <c r="AJ11" s="22">
        <v>42871.922222222223</v>
      </c>
      <c r="AK11"/>
      <c r="AL11">
        <v>3</v>
      </c>
      <c r="AN11" s="112"/>
      <c r="AO11" s="112"/>
      <c r="AP11" s="112"/>
      <c r="AQ11" s="112"/>
      <c r="AR11" s="7" t="str">
        <f>HYPERLINK("https://www.ejacket.nsf.gov/ej/showProposal.do?ID="&amp;ckCodingTable[[#This Row],[prop_id]],"eJ")</f>
        <v>eJ</v>
      </c>
      <c r="AS11" t="s">
        <v>1971</v>
      </c>
      <c r="AT11" t="s">
        <v>2022</v>
      </c>
      <c r="AU11" t="b">
        <f>IF(ckCodingTable[[#This Row],[ILN]]="N",SUBSTITUTE(AT10," ","")&lt;&gt;SUBSTITUTE(ckCodingTable[[#This Row],[prop_titl_txt]]," ",""), FALSE)</f>
        <v>0</v>
      </c>
      <c r="AV11">
        <v>0</v>
      </c>
      <c r="AW11" s="13">
        <v>825000</v>
      </c>
      <c r="AX11" s="13">
        <v>825000</v>
      </c>
      <c r="AY11" s="13"/>
      <c r="AZ11" s="13"/>
      <c r="BA11" s="13">
        <v>173388</v>
      </c>
      <c r="BB11" s="13">
        <v>45000</v>
      </c>
      <c r="BC11">
        <v>9</v>
      </c>
      <c r="BD11">
        <v>9</v>
      </c>
      <c r="BE11">
        <v>2.1</v>
      </c>
      <c r="BH11">
        <v>2</v>
      </c>
      <c r="BI11">
        <v>0</v>
      </c>
      <c r="BJ11">
        <v>0</v>
      </c>
      <c r="BK11">
        <v>0</v>
      </c>
      <c r="BL11" t="s">
        <v>2023</v>
      </c>
    </row>
    <row r="12" spans="1:64">
      <c r="A12" s="30">
        <v>42955.353842592594</v>
      </c>
      <c r="B12" s="30">
        <v>42807.572222222225</v>
      </c>
      <c r="C12" t="s">
        <v>1965</v>
      </c>
      <c r="D12" t="s">
        <v>741</v>
      </c>
      <c r="E12" t="s">
        <v>901</v>
      </c>
      <c r="F12" t="s">
        <v>1966</v>
      </c>
      <c r="G12" t="s">
        <v>170</v>
      </c>
      <c r="H12" s="21" t="s">
        <v>94</v>
      </c>
      <c r="I12" s="86">
        <v>1</v>
      </c>
      <c r="J12" s="86">
        <v>0</v>
      </c>
      <c r="K12" t="s">
        <v>1967</v>
      </c>
      <c r="L12" t="s">
        <v>543</v>
      </c>
      <c r="M12" t="s">
        <v>2018</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1968</v>
      </c>
      <c r="R12" s="22">
        <v>42951.518680555557</v>
      </c>
      <c r="S12" s="108">
        <f>S11+(ckCodingTable[[#This Row],[ILN]]&lt;"M")</f>
        <v>6</v>
      </c>
      <c r="T12" s="21" t="s">
        <v>1989</v>
      </c>
      <c r="U12" t="s">
        <v>1023</v>
      </c>
      <c r="V12" s="7" t="str">
        <f>HYPERLINK("https://www.ejacket.nsf.gov/ej/showProposal.do?ID="&amp;ckCodingTable[[#This Row],[prop_id]],"eJ")</f>
        <v>eJ</v>
      </c>
      <c r="W12" t="s">
        <v>742</v>
      </c>
      <c r="X12" t="s">
        <v>2024</v>
      </c>
      <c r="Y12" t="s">
        <v>2025</v>
      </c>
      <c r="Z12" t="s">
        <v>2026</v>
      </c>
      <c r="AA12" t="s">
        <v>2027</v>
      </c>
      <c r="AB12" s="111" t="str">
        <f>HYPERLINK("mailto:"&amp;ckCodingTable[[#This Row],[email]]&amp;"&amp;subject=Your NSF Proposal:  "&amp;ckCodingTable[[#This Row],[Div]]&amp;" "&amp;ckCodingTable[[#This Row],[prop_id]], ckCodingTable[[#This Row],[email]])</f>
        <v>laubenbacher@uchc.edu</v>
      </c>
      <c r="AC12" s="30">
        <v>42979</v>
      </c>
      <c r="AD12">
        <v>36</v>
      </c>
      <c r="AG12" s="112"/>
      <c r="AI12" s="26"/>
      <c r="AJ12" s="22"/>
      <c r="AK12"/>
      <c r="AN12" s="112"/>
      <c r="AO12" s="112"/>
      <c r="AP12" s="112"/>
      <c r="AQ12" s="112"/>
      <c r="AR12" s="7" t="str">
        <f>HYPERLINK("https://www.ejacket.nsf.gov/ej/showProposal.do?ID="&amp;ckCodingTable[[#This Row],[prop_id]],"eJ")</f>
        <v>eJ</v>
      </c>
      <c r="AS12" t="s">
        <v>1971</v>
      </c>
      <c r="AT12" t="s">
        <v>2028</v>
      </c>
      <c r="AU12" t="b">
        <f>IF(ckCodingTable[[#This Row],[ILN]]="N",SUBSTITUTE(AT11," ","")&lt;&gt;SUBSTITUTE(ckCodingTable[[#This Row],[prop_titl_txt]]," ",""), FALSE)</f>
        <v>1</v>
      </c>
      <c r="AV12">
        <v>0</v>
      </c>
      <c r="AW12" s="13">
        <v>224999</v>
      </c>
      <c r="AX12" s="13">
        <v>224999</v>
      </c>
      <c r="AY12" s="13"/>
      <c r="AZ12" s="13"/>
      <c r="BA12" s="13"/>
      <c r="BB12" s="13"/>
      <c r="BC12">
        <v>3</v>
      </c>
      <c r="BD12">
        <v>3</v>
      </c>
      <c r="BG12">
        <v>0.36</v>
      </c>
      <c r="BH12">
        <v>0</v>
      </c>
      <c r="BI12">
        <v>0</v>
      </c>
      <c r="BJ12">
        <v>0</v>
      </c>
      <c r="BK12">
        <v>0</v>
      </c>
      <c r="BL12" t="s">
        <v>2029</v>
      </c>
    </row>
    <row r="13" spans="1:64">
      <c r="A13" s="30">
        <v>42955.353842592594</v>
      </c>
      <c r="B13" s="30">
        <v>42809.648611111108</v>
      </c>
      <c r="C13" t="s">
        <v>1965</v>
      </c>
      <c r="D13" t="s">
        <v>741</v>
      </c>
      <c r="E13" t="s">
        <v>901</v>
      </c>
      <c r="F13" t="s">
        <v>1966</v>
      </c>
      <c r="G13" t="s">
        <v>170</v>
      </c>
      <c r="H13" s="21" t="s">
        <v>94</v>
      </c>
      <c r="I13" s="86">
        <v>1</v>
      </c>
      <c r="J13" s="86">
        <v>0</v>
      </c>
      <c r="K13" t="s">
        <v>1967</v>
      </c>
      <c r="L13" t="s">
        <v>543</v>
      </c>
      <c r="M13" t="s">
        <v>257</v>
      </c>
      <c r="N13" t="str">
        <f>IF(SUM(ckCodingTable[[#This Row],[NfmlPIs]:[NnonWhtAsnPIs]])&gt;0,"WMD","")</f>
        <v>WMD</v>
      </c>
      <c r="O13" t="b">
        <f>_xlfn.XOR(IFERROR(MATCH(ckCodingTable[[#This Row],[st_code]],EpscorTable[],0)&gt;0,FALSE),IFERROR(FIND("9150",ckCodingTable[[#This Row],[propPRCs]])&gt;0,FALSE))</f>
        <v>0</v>
      </c>
      <c r="P13" s="21" t="b">
        <f>_xlfn.XOR(ckCodingTable[[#This Row],[wmd]]&lt;&gt;"",IFERROR(FIND("9102",ckCodingTable[[#This Row],[propPRCs]])&gt;0,FALSE))</f>
        <v>0</v>
      </c>
      <c r="Q13" t="s">
        <v>2007</v>
      </c>
      <c r="R13" s="22">
        <v>42951.518680555557</v>
      </c>
      <c r="S13" s="108">
        <f>S12+(ckCodingTable[[#This Row],[ILN]]&lt;"M")</f>
        <v>6</v>
      </c>
      <c r="T13" s="21" t="s">
        <v>1989</v>
      </c>
      <c r="U13" t="s">
        <v>1023</v>
      </c>
      <c r="V13" s="7" t="str">
        <f>HYPERLINK("https://www.ejacket.nsf.gov/ej/showProposal.do?ID="&amp;ckCodingTable[[#This Row],[prop_id]],"eJ")</f>
        <v>eJ</v>
      </c>
      <c r="W13" t="s">
        <v>742</v>
      </c>
      <c r="X13" t="s">
        <v>2030</v>
      </c>
      <c r="Y13" t="s">
        <v>2031</v>
      </c>
      <c r="Z13" t="s">
        <v>1969</v>
      </c>
      <c r="AA13" t="s">
        <v>2032</v>
      </c>
      <c r="AB13" s="111" t="str">
        <f>HYPERLINK("mailto:"&amp;ckCodingTable[[#This Row],[email]]&amp;"&amp;subject=Your NSF Proposal:  "&amp;ckCodingTable[[#This Row],[Div]]&amp;" "&amp;ckCodingTable[[#This Row],[prop_id]], ckCodingTable[[#This Row],[email]])</f>
        <v>lavine@math.umass.edu</v>
      </c>
      <c r="AC13" s="30">
        <v>42979</v>
      </c>
      <c r="AD13">
        <v>36</v>
      </c>
      <c r="AG13" s="112"/>
      <c r="AI13" s="26"/>
      <c r="AJ13" s="22"/>
      <c r="AK13"/>
      <c r="AN13" s="112"/>
      <c r="AO13" s="112"/>
      <c r="AP13" s="112"/>
      <c r="AQ13" s="112"/>
      <c r="AR13" s="7" t="str">
        <f>HYPERLINK("https://www.ejacket.nsf.gov/ej/showProposal.do?ID="&amp;ckCodingTable[[#This Row],[prop_id]],"eJ")</f>
        <v>eJ</v>
      </c>
      <c r="AS13" t="s">
        <v>1971</v>
      </c>
      <c r="AT13" t="s">
        <v>2022</v>
      </c>
      <c r="AU13" t="b">
        <f>IF(ckCodingTable[[#This Row],[ILN]]="N",SUBSTITUTE(AT12," ","")&lt;&gt;SUBSTITUTE(ckCodingTable[[#This Row],[prop_titl_txt]]," ",""), FALSE)</f>
        <v>1</v>
      </c>
      <c r="AV13">
        <v>0</v>
      </c>
      <c r="AW13" s="13">
        <v>374046</v>
      </c>
      <c r="AX13" s="13">
        <v>374046</v>
      </c>
      <c r="AY13" s="13"/>
      <c r="AZ13" s="13"/>
      <c r="BA13" s="13">
        <v>149744</v>
      </c>
      <c r="BB13" s="13"/>
      <c r="BC13">
        <v>4</v>
      </c>
      <c r="BD13">
        <v>12</v>
      </c>
      <c r="BE13">
        <v>1.08</v>
      </c>
      <c r="BH13">
        <v>2</v>
      </c>
      <c r="BI13">
        <v>0</v>
      </c>
      <c r="BJ13">
        <v>1</v>
      </c>
      <c r="BK13">
        <v>0</v>
      </c>
      <c r="BL13" t="s">
        <v>2033</v>
      </c>
    </row>
    <row r="14" spans="1:64">
      <c r="A14" s="30">
        <v>42955.682905092595</v>
      </c>
      <c r="B14" s="30">
        <v>42808.504861111112</v>
      </c>
      <c r="C14" t="s">
        <v>1965</v>
      </c>
      <c r="D14" t="s">
        <v>741</v>
      </c>
      <c r="E14" t="s">
        <v>901</v>
      </c>
      <c r="F14" t="s">
        <v>1966</v>
      </c>
      <c r="G14" t="s">
        <v>170</v>
      </c>
      <c r="H14" s="21" t="s">
        <v>94</v>
      </c>
      <c r="I14" s="86">
        <v>1</v>
      </c>
      <c r="J14" s="86">
        <v>0</v>
      </c>
      <c r="K14" t="s">
        <v>1967</v>
      </c>
      <c r="L14" t="s">
        <v>948</v>
      </c>
      <c r="M14" t="s">
        <v>256</v>
      </c>
      <c r="N14" t="str">
        <f>IF(SUM(ckCodingTable[[#This Row],[NfmlPIs]:[NnonWhtAsnPIs]])&gt;0,"WMD","")</f>
        <v>WMD</v>
      </c>
      <c r="O14" t="b">
        <f>_xlfn.XOR(IFERROR(MATCH(ckCodingTable[[#This Row],[st_code]],EpscorTable[],0)&gt;0,FALSE),IFERROR(FIND("9150",ckCodingTable[[#This Row],[propPRCs]])&gt;0,FALSE))</f>
        <v>0</v>
      </c>
      <c r="P14" s="21" t="b">
        <f>_xlfn.XOR(ckCodingTable[[#This Row],[wmd]]&lt;&gt;"",IFERROR(FIND("9102",ckCodingTable[[#This Row],[propPRCs]])&gt;0,FALSE))</f>
        <v>0</v>
      </c>
      <c r="Q14" t="s">
        <v>2007</v>
      </c>
      <c r="R14" s="22">
        <v>42955.345277777778</v>
      </c>
      <c r="S14" s="108">
        <f>S13+(ckCodingTable[[#This Row],[ILN]]&lt;"M")</f>
        <v>7</v>
      </c>
      <c r="T14" s="21" t="s">
        <v>96</v>
      </c>
      <c r="U14" t="s">
        <v>1030</v>
      </c>
      <c r="V14" s="7" t="str">
        <f>HYPERLINK("https://www.ejacket.nsf.gov/ej/showProposal.do?ID="&amp;ckCodingTable[[#This Row],[prop_id]],"eJ")</f>
        <v>eJ</v>
      </c>
      <c r="W14" t="s">
        <v>742</v>
      </c>
      <c r="X14" t="s">
        <v>1030</v>
      </c>
      <c r="Y14" t="s">
        <v>1031</v>
      </c>
      <c r="Z14" t="s">
        <v>2034</v>
      </c>
      <c r="AA14" t="s">
        <v>2035</v>
      </c>
      <c r="AB14" s="111" t="str">
        <f>HYPERLINK("mailto:"&amp;ckCodingTable[[#This Row],[email]]&amp;"&amp;subject=Your NSF Proposal:  "&amp;ckCodingTable[[#This Row],[Div]]&amp;" "&amp;ckCodingTable[[#This Row],[prop_id]], ckCodingTable[[#This Row],[email]])</f>
        <v>gvaliant@cs.stanford.edu</v>
      </c>
      <c r="AC14" s="30">
        <v>43009</v>
      </c>
      <c r="AD14">
        <v>36</v>
      </c>
      <c r="AE14">
        <v>1</v>
      </c>
      <c r="AG14" s="112"/>
      <c r="AH14" t="s">
        <v>2036</v>
      </c>
      <c r="AI14" s="26">
        <v>6</v>
      </c>
      <c r="AJ14" s="22">
        <v>42878.31527777778</v>
      </c>
      <c r="AK14"/>
      <c r="AL14">
        <v>3</v>
      </c>
      <c r="AN14" s="112"/>
      <c r="AO14" s="112"/>
      <c r="AP14" s="112"/>
      <c r="AQ14" s="112"/>
      <c r="AR14" s="7" t="str">
        <f>HYPERLINK("https://www.ejacket.nsf.gov/ej/showProposal.do?ID="&amp;ckCodingTable[[#This Row],[prop_id]],"eJ")</f>
        <v>eJ</v>
      </c>
      <c r="AS14" t="s">
        <v>1971</v>
      </c>
      <c r="AT14" t="s">
        <v>2037</v>
      </c>
      <c r="AU14" t="b">
        <f>IF(ckCodingTable[[#This Row],[ILN]]="N",SUBSTITUTE(AT13," ","")&lt;&gt;SUBSTITUTE(ckCodingTable[[#This Row],[prop_titl_txt]]," ",""), FALSE)</f>
        <v>0</v>
      </c>
      <c r="AV14">
        <v>0</v>
      </c>
      <c r="AW14" s="13">
        <v>1498915</v>
      </c>
      <c r="AX14" s="13">
        <v>1498915</v>
      </c>
      <c r="AY14" s="13"/>
      <c r="AZ14" s="13">
        <v>18000</v>
      </c>
      <c r="BA14" s="13">
        <v>511926</v>
      </c>
      <c r="BB14" s="13">
        <v>169992</v>
      </c>
      <c r="BD14">
        <v>21</v>
      </c>
      <c r="BE14">
        <v>5.25</v>
      </c>
      <c r="BH14">
        <v>2</v>
      </c>
      <c r="BI14">
        <v>0</v>
      </c>
      <c r="BJ14">
        <v>0</v>
      </c>
      <c r="BK14">
        <v>0</v>
      </c>
      <c r="BL14" t="s">
        <v>2038</v>
      </c>
    </row>
    <row r="15" spans="1:64">
      <c r="A15" s="30">
        <v>42957.711018518516</v>
      </c>
      <c r="B15" s="30">
        <v>42808.611805555556</v>
      </c>
      <c r="C15" t="s">
        <v>1965</v>
      </c>
      <c r="D15" t="s">
        <v>741</v>
      </c>
      <c r="E15" t="s">
        <v>901</v>
      </c>
      <c r="F15" t="s">
        <v>1966</v>
      </c>
      <c r="G15" t="s">
        <v>170</v>
      </c>
      <c r="H15" s="21" t="s">
        <v>94</v>
      </c>
      <c r="I15" s="86">
        <v>1</v>
      </c>
      <c r="J15" s="86">
        <v>0</v>
      </c>
      <c r="K15" t="s">
        <v>1967</v>
      </c>
      <c r="L15" t="s">
        <v>948</v>
      </c>
      <c r="M15" t="s">
        <v>2039</v>
      </c>
      <c r="N15" t="str">
        <f>IF(SUM(ckCodingTable[[#This Row],[NfmlPIs]:[NnonWhtAsnPIs]])&gt;0,"WMD","")</f>
        <v/>
      </c>
      <c r="O15" t="b">
        <f>_xlfn.XOR(IFERROR(MATCH(ckCodingTable[[#This Row],[st_code]],EpscorTable[],0)&gt;0,FALSE),IFERROR(FIND("9150",ckCodingTable[[#This Row],[propPRCs]])&gt;0,FALSE))</f>
        <v>0</v>
      </c>
      <c r="P15" s="21" t="b">
        <f>_xlfn.XOR(ckCodingTable[[#This Row],[wmd]]&lt;&gt;"",IFERROR(FIND("9102",ckCodingTable[[#This Row],[propPRCs]])&gt;0,FALSE))</f>
        <v>0</v>
      </c>
      <c r="Q15" t="s">
        <v>1968</v>
      </c>
      <c r="R15" s="22">
        <v>42957.361666666664</v>
      </c>
      <c r="S15" s="108">
        <f>S14+(ckCodingTable[[#This Row],[ILN]]&lt;"M")</f>
        <v>8</v>
      </c>
      <c r="T15" s="21" t="s">
        <v>1981</v>
      </c>
      <c r="U15" t="s">
        <v>1041</v>
      </c>
      <c r="V15" s="7" t="str">
        <f>HYPERLINK("https://www.ejacket.nsf.gov/ej/showProposal.do?ID="&amp;ckCodingTable[[#This Row],[prop_id]],"eJ")</f>
        <v>eJ</v>
      </c>
      <c r="W15" t="s">
        <v>742</v>
      </c>
      <c r="X15" t="s">
        <v>1041</v>
      </c>
      <c r="Y15" t="s">
        <v>1042</v>
      </c>
      <c r="Z15" t="s">
        <v>2040</v>
      </c>
      <c r="AA15" t="s">
        <v>2041</v>
      </c>
      <c r="AB15" s="111" t="str">
        <f>HYPERLINK("mailto:"&amp;ckCodingTable[[#This Row],[email]]&amp;"&amp;subject=Your NSF Proposal:  "&amp;ckCodingTable[[#This Row],[Div]]&amp;" "&amp;ckCodingTable[[#This Row],[prop_id]], ckCodingTable[[#This Row],[email]])</f>
        <v>spa@cs.purdue.edu</v>
      </c>
      <c r="AC15" s="30">
        <v>42979</v>
      </c>
      <c r="AD15">
        <v>36</v>
      </c>
      <c r="AE15">
        <v>1</v>
      </c>
      <c r="AG15" s="112"/>
      <c r="AH15" t="s">
        <v>2042</v>
      </c>
      <c r="AI15" s="26">
        <v>4.666666666666667</v>
      </c>
      <c r="AJ15" s="22">
        <v>42880.186805555553</v>
      </c>
      <c r="AK15">
        <v>1</v>
      </c>
      <c r="AL15">
        <v>3</v>
      </c>
      <c r="AN15" s="112"/>
      <c r="AO15" s="112"/>
      <c r="AP15" s="112"/>
      <c r="AQ15" s="112"/>
      <c r="AR15" s="7" t="str">
        <f>HYPERLINK("https://www.ejacket.nsf.gov/ej/showProposal.do?ID="&amp;ckCodingTable[[#This Row],[prop_id]],"eJ")</f>
        <v>eJ</v>
      </c>
      <c r="AS15" t="s">
        <v>1971</v>
      </c>
      <c r="AT15" t="s">
        <v>2043</v>
      </c>
      <c r="AU15" t="b">
        <f>IF(ckCodingTable[[#This Row],[ILN]]="N",SUBSTITUTE(AT14," ","")&lt;&gt;SUBSTITUTE(ckCodingTable[[#This Row],[prop_titl_txt]]," ",""), FALSE)</f>
        <v>0</v>
      </c>
      <c r="AV15">
        <v>0</v>
      </c>
      <c r="AW15" s="13">
        <v>900000</v>
      </c>
      <c r="AX15" s="13">
        <v>900000</v>
      </c>
      <c r="AY15" s="13"/>
      <c r="AZ15" s="13">
        <v>45000</v>
      </c>
      <c r="BA15" s="13">
        <v>274281</v>
      </c>
      <c r="BB15" s="13"/>
      <c r="BD15">
        <v>6</v>
      </c>
      <c r="BE15">
        <v>2.76</v>
      </c>
      <c r="BH15">
        <v>0</v>
      </c>
      <c r="BI15">
        <v>0</v>
      </c>
      <c r="BJ15">
        <v>0</v>
      </c>
      <c r="BK15">
        <v>0</v>
      </c>
      <c r="BL15" t="s">
        <v>2044</v>
      </c>
    </row>
    <row r="16" spans="1:64">
      <c r="A16" s="30">
        <v>42957.711018518516</v>
      </c>
      <c r="B16" s="30">
        <v>42808.474999999999</v>
      </c>
      <c r="C16" t="s">
        <v>1965</v>
      </c>
      <c r="D16" t="s">
        <v>741</v>
      </c>
      <c r="E16" t="s">
        <v>901</v>
      </c>
      <c r="F16" t="s">
        <v>1966</v>
      </c>
      <c r="G16" t="s">
        <v>170</v>
      </c>
      <c r="H16" s="21" t="s">
        <v>94</v>
      </c>
      <c r="I16" s="86">
        <v>1</v>
      </c>
      <c r="J16" s="86">
        <v>0</v>
      </c>
      <c r="K16" t="s">
        <v>1967</v>
      </c>
      <c r="L16" t="s">
        <v>948</v>
      </c>
      <c r="M16" t="s">
        <v>344</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1968</v>
      </c>
      <c r="R16" s="22">
        <v>42957.361666666664</v>
      </c>
      <c r="S16" s="108">
        <f>S15+(ckCodingTable[[#This Row],[ILN]]&lt;"M")</f>
        <v>8</v>
      </c>
      <c r="T16" s="21" t="s">
        <v>1989</v>
      </c>
      <c r="U16" t="s">
        <v>1041</v>
      </c>
      <c r="V16" s="7" t="str">
        <f>HYPERLINK("https://www.ejacket.nsf.gov/ej/showProposal.do?ID="&amp;ckCodingTable[[#This Row],[prop_id]],"eJ")</f>
        <v>eJ</v>
      </c>
      <c r="W16" t="s">
        <v>742</v>
      </c>
      <c r="X16" t="s">
        <v>2045</v>
      </c>
      <c r="Y16" t="s">
        <v>2046</v>
      </c>
      <c r="Z16" t="s">
        <v>2047</v>
      </c>
      <c r="AA16" t="s">
        <v>2048</v>
      </c>
      <c r="AB16" s="111" t="str">
        <f>HYPERLINK("mailto:"&amp;ckCodingTable[[#This Row],[email]]&amp;"&amp;subject=Your NSF Proposal:  "&amp;ckCodingTable[[#This Row],[Div]]&amp;" "&amp;ckCodingTable[[#This Row],[prop_id]], ckCodingTable[[#This Row],[email]])</f>
        <v>ipsen@ncsu.edu</v>
      </c>
      <c r="AC16" s="30">
        <v>42979</v>
      </c>
      <c r="AD16">
        <v>36</v>
      </c>
      <c r="AG16" s="112"/>
      <c r="AI16" s="26"/>
      <c r="AJ16" s="22"/>
      <c r="AK16"/>
      <c r="AN16" s="112"/>
      <c r="AO16" s="112"/>
      <c r="AP16" s="112"/>
      <c r="AQ16" s="112"/>
      <c r="AR16" s="7" t="str">
        <f>HYPERLINK("https://www.ejacket.nsf.gov/ej/showProposal.do?ID="&amp;ckCodingTable[[#This Row],[prop_id]],"eJ")</f>
        <v>eJ</v>
      </c>
      <c r="AS16" t="s">
        <v>1971</v>
      </c>
      <c r="AT16" t="s">
        <v>2049</v>
      </c>
      <c r="AU16" t="b">
        <f>IF(ckCodingTable[[#This Row],[ILN]]="N",SUBSTITUTE(AT15," ","")&lt;&gt;SUBSTITUTE(ckCodingTable[[#This Row],[prop_titl_txt]]," ",""), FALSE)</f>
        <v>0</v>
      </c>
      <c r="AV16">
        <v>0</v>
      </c>
      <c r="AW16" s="13">
        <v>180000</v>
      </c>
      <c r="AX16" s="13">
        <v>180000</v>
      </c>
      <c r="AY16" s="13"/>
      <c r="AZ16" s="13">
        <v>21091</v>
      </c>
      <c r="BA16" s="13"/>
      <c r="BB16" s="13"/>
      <c r="BD16">
        <v>3</v>
      </c>
      <c r="BE16">
        <v>3.87</v>
      </c>
      <c r="BH16">
        <v>2</v>
      </c>
      <c r="BI16">
        <v>0</v>
      </c>
      <c r="BJ16">
        <v>0</v>
      </c>
      <c r="BK16">
        <v>0</v>
      </c>
      <c r="BL16" t="s">
        <v>2050</v>
      </c>
    </row>
    <row r="17" spans="1:64">
      <c r="A17" s="30">
        <v>42957.711018518516</v>
      </c>
      <c r="B17" s="30">
        <v>42808.71597222222</v>
      </c>
      <c r="C17" t="s">
        <v>1965</v>
      </c>
      <c r="D17" t="s">
        <v>741</v>
      </c>
      <c r="E17" t="s">
        <v>901</v>
      </c>
      <c r="F17" t="s">
        <v>1966</v>
      </c>
      <c r="G17" t="s">
        <v>170</v>
      </c>
      <c r="H17" s="21" t="s">
        <v>94</v>
      </c>
      <c r="I17" s="86">
        <v>1</v>
      </c>
      <c r="J17" s="86">
        <v>0</v>
      </c>
      <c r="K17" t="s">
        <v>1967</v>
      </c>
      <c r="L17" t="s">
        <v>948</v>
      </c>
      <c r="M17" t="s">
        <v>340</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1968</v>
      </c>
      <c r="R17" s="22">
        <v>42957.361666666664</v>
      </c>
      <c r="S17" s="108">
        <f>S16+(ckCodingTable[[#This Row],[ILN]]&lt;"M")</f>
        <v>8</v>
      </c>
      <c r="T17" s="21" t="s">
        <v>1989</v>
      </c>
      <c r="U17" t="s">
        <v>1041</v>
      </c>
      <c r="V17" s="7" t="str">
        <f>HYPERLINK("https://www.ejacket.nsf.gov/ej/showProposal.do?ID="&amp;ckCodingTable[[#This Row],[prop_id]],"eJ")</f>
        <v>eJ</v>
      </c>
      <c r="W17" t="s">
        <v>742</v>
      </c>
      <c r="X17" t="s">
        <v>2051</v>
      </c>
      <c r="Y17" t="s">
        <v>2052</v>
      </c>
      <c r="Z17" t="s">
        <v>2053</v>
      </c>
      <c r="AA17" t="s">
        <v>339</v>
      </c>
      <c r="AB17" s="111" t="str">
        <f>HYPERLINK("mailto:"&amp;ckCodingTable[[#This Row],[email]]&amp;"&amp;subject=Your NSF Proposal:  "&amp;ckCodingTable[[#This Row],[Div]]&amp;" "&amp;ckCodingTable[[#This Row],[prop_id]], ckCodingTable[[#This Row],[email]])</f>
        <v>ymb@uiuc.edu</v>
      </c>
      <c r="AC17" s="30">
        <v>42979</v>
      </c>
      <c r="AD17">
        <v>36</v>
      </c>
      <c r="AG17" s="112"/>
      <c r="AI17" s="26"/>
      <c r="AJ17" s="22"/>
      <c r="AK17"/>
      <c r="AN17" s="112"/>
      <c r="AO17" s="112"/>
      <c r="AP17" s="112"/>
      <c r="AQ17" s="112"/>
      <c r="AR17" s="7" t="str">
        <f>HYPERLINK("https://www.ejacket.nsf.gov/ej/showProposal.do?ID="&amp;ckCodingTable[[#This Row],[prop_id]],"eJ")</f>
        <v>eJ</v>
      </c>
      <c r="AS17" t="s">
        <v>1971</v>
      </c>
      <c r="AT17" t="s">
        <v>2049</v>
      </c>
      <c r="AU17" t="b">
        <f>IF(ckCodingTable[[#This Row],[ILN]]="N",SUBSTITUTE(AT16," ","")&lt;&gt;SUBSTITUTE(ckCodingTable[[#This Row],[prop_titl_txt]]," ",""), FALSE)</f>
        <v>0</v>
      </c>
      <c r="AV17">
        <v>0</v>
      </c>
      <c r="AW17" s="13">
        <v>270000</v>
      </c>
      <c r="AX17" s="13">
        <v>270000</v>
      </c>
      <c r="AY17" s="13"/>
      <c r="AZ17" s="13">
        <v>18000</v>
      </c>
      <c r="BA17" s="13"/>
      <c r="BB17" s="13"/>
      <c r="BC17">
        <v>3</v>
      </c>
      <c r="BD17">
        <v>3</v>
      </c>
      <c r="BE17">
        <v>0.89</v>
      </c>
      <c r="BH17">
        <v>0</v>
      </c>
      <c r="BI17">
        <v>0</v>
      </c>
      <c r="BJ17">
        <v>0</v>
      </c>
      <c r="BK17">
        <v>0</v>
      </c>
      <c r="BL17" t="s">
        <v>2054</v>
      </c>
    </row>
    <row r="18" spans="1:64">
      <c r="A18" s="30">
        <v>42957.711018518516</v>
      </c>
      <c r="B18" s="30">
        <v>42808.71875</v>
      </c>
      <c r="C18" t="s">
        <v>1965</v>
      </c>
      <c r="D18" t="s">
        <v>741</v>
      </c>
      <c r="E18" t="s">
        <v>901</v>
      </c>
      <c r="F18" t="s">
        <v>1966</v>
      </c>
      <c r="G18" t="s">
        <v>170</v>
      </c>
      <c r="H18" s="21" t="s">
        <v>94</v>
      </c>
      <c r="I18" s="86">
        <v>1</v>
      </c>
      <c r="J18" s="86">
        <v>0</v>
      </c>
      <c r="K18" t="s">
        <v>1967</v>
      </c>
      <c r="L18" t="s">
        <v>948</v>
      </c>
      <c r="M18" t="s">
        <v>340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1968</v>
      </c>
      <c r="R18" s="22">
        <v>42957.361666666664</v>
      </c>
      <c r="S18" s="108">
        <f>S17+(ckCodingTable[[#This Row],[ILN]]&lt;"M")</f>
        <v>8</v>
      </c>
      <c r="T18" s="21" t="s">
        <v>1989</v>
      </c>
      <c r="U18" t="s">
        <v>1041</v>
      </c>
      <c r="V18" s="7" t="str">
        <f>HYPERLINK("https://www.ejacket.nsf.gov/ej/showProposal.do?ID="&amp;ckCodingTable[[#This Row],[prop_id]],"eJ")</f>
        <v>eJ</v>
      </c>
      <c r="W18" t="s">
        <v>742</v>
      </c>
      <c r="X18" t="s">
        <v>2055</v>
      </c>
      <c r="Y18" t="s">
        <v>2056</v>
      </c>
      <c r="Z18" t="s">
        <v>2057</v>
      </c>
      <c r="AA18" t="s">
        <v>2058</v>
      </c>
      <c r="AB18" s="111" t="str">
        <f>HYPERLINK("mailto:"&amp;ckCodingTable[[#This Row],[email]]&amp;"&amp;subject=Your NSF Proposal:  "&amp;ckCodingTable[[#This Row],[Div]]&amp;" "&amp;ckCodingTable[[#This Row],[prop_id]], ckCodingTable[[#This Row],[email]])</f>
        <v>risi@cs.uchicago.edu</v>
      </c>
      <c r="AC18" s="30">
        <v>42979</v>
      </c>
      <c r="AD18">
        <v>36</v>
      </c>
      <c r="AG18" s="112"/>
      <c r="AI18" s="26"/>
      <c r="AJ18" s="22"/>
      <c r="AK18"/>
      <c r="AN18" s="112"/>
      <c r="AO18" s="112"/>
      <c r="AP18" s="112"/>
      <c r="AQ18" s="112"/>
      <c r="AR18" s="7" t="str">
        <f>HYPERLINK("https://www.ejacket.nsf.gov/ej/showProposal.do?ID="&amp;ckCodingTable[[#This Row],[prop_id]],"eJ")</f>
        <v>eJ</v>
      </c>
      <c r="AS18" t="s">
        <v>1971</v>
      </c>
      <c r="AT18" t="s">
        <v>2059</v>
      </c>
      <c r="AU18" t="b">
        <f>IF(ckCodingTable[[#This Row],[ILN]]="N",SUBSTITUTE(AT17," ","")&lt;&gt;SUBSTITUTE(ckCodingTable[[#This Row],[prop_titl_txt]]," ",""), FALSE)</f>
        <v>0</v>
      </c>
      <c r="AV18">
        <v>0</v>
      </c>
      <c r="AW18" s="13">
        <v>150000</v>
      </c>
      <c r="AX18" s="13">
        <v>150000</v>
      </c>
      <c r="AY18" s="13"/>
      <c r="AZ18" s="13"/>
      <c r="BA18" s="13"/>
      <c r="BB18" s="13"/>
      <c r="BC18">
        <v>3</v>
      </c>
      <c r="BD18">
        <v>3</v>
      </c>
      <c r="BE18">
        <v>3</v>
      </c>
      <c r="BH18">
        <v>0</v>
      </c>
      <c r="BI18">
        <v>0</v>
      </c>
      <c r="BJ18">
        <v>0</v>
      </c>
      <c r="BK18">
        <v>0</v>
      </c>
      <c r="BL18" t="s">
        <v>2060</v>
      </c>
    </row>
    <row r="19" spans="1:64">
      <c r="A19" s="30">
        <v>42933.40896990741</v>
      </c>
      <c r="B19" s="30">
        <v>42808.710416666669</v>
      </c>
      <c r="C19" t="s">
        <v>1965</v>
      </c>
      <c r="D19" t="s">
        <v>741</v>
      </c>
      <c r="E19" t="s">
        <v>901</v>
      </c>
      <c r="F19" t="s">
        <v>1974</v>
      </c>
      <c r="G19" t="s">
        <v>170</v>
      </c>
      <c r="H19" s="21" t="s">
        <v>94</v>
      </c>
      <c r="I19" s="86">
        <v>1</v>
      </c>
      <c r="J19" s="86">
        <v>0</v>
      </c>
      <c r="K19" t="s">
        <v>1967</v>
      </c>
      <c r="L19" t="s">
        <v>942</v>
      </c>
      <c r="M19" t="s">
        <v>254</v>
      </c>
      <c r="N19" t="str">
        <f>IF(SUM(ckCodingTable[[#This Row],[NfmlPIs]:[NnonWhtAsnPIs]])&gt;0,"WMD","")</f>
        <v>WMD</v>
      </c>
      <c r="O19" t="b">
        <f>_xlfn.XOR(IFERROR(MATCH(ckCodingTable[[#This Row],[st_code]],EpscorTable[],0)&gt;0,FALSE),IFERROR(FIND("9150",ckCodingTable[[#This Row],[propPRCs]])&gt;0,FALSE))</f>
        <v>0</v>
      </c>
      <c r="P19" s="21" t="b">
        <f>_xlfn.XOR(ckCodingTable[[#This Row],[wmd]]&lt;&gt;"",IFERROR(FIND("9102",ckCodingTable[[#This Row],[propPRCs]])&gt;0,FALSE))</f>
        <v>1</v>
      </c>
      <c r="Q19" t="s">
        <v>1968</v>
      </c>
      <c r="R19" s="22">
        <v>42928.395983796298</v>
      </c>
      <c r="S19" s="108">
        <f>S18+(ckCodingTable[[#This Row],[ILN]]&lt;"M")</f>
        <v>9</v>
      </c>
      <c r="T19" s="21" t="s">
        <v>96</v>
      </c>
      <c r="U19" t="s">
        <v>1052</v>
      </c>
      <c r="V19" s="7" t="str">
        <f>HYPERLINK("https://www.ejacket.nsf.gov/ej/showProposal.do?ID="&amp;ckCodingTable[[#This Row],[prop_id]],"eJ")</f>
        <v>eJ</v>
      </c>
      <c r="W19" t="s">
        <v>742</v>
      </c>
      <c r="X19" t="s">
        <v>1052</v>
      </c>
      <c r="Y19" t="s">
        <v>1053</v>
      </c>
      <c r="Z19" t="s">
        <v>2061</v>
      </c>
      <c r="AA19" t="s">
        <v>247</v>
      </c>
      <c r="AB19" s="111" t="str">
        <f>HYPERLINK("mailto:"&amp;ckCodingTable[[#This Row],[email]]&amp;"&amp;subject=Your NSF Proposal:  "&amp;ckCodingTable[[#This Row],[Div]]&amp;" "&amp;ckCodingTable[[#This Row],[prop_id]], ckCodingTable[[#This Row],[email]])</f>
        <v>swright@cs.wisc.edu</v>
      </c>
      <c r="AC19" s="30">
        <v>42979</v>
      </c>
      <c r="AD19">
        <v>36</v>
      </c>
      <c r="AE19">
        <v>1</v>
      </c>
      <c r="AG19" s="112"/>
      <c r="AH19" t="s">
        <v>2062</v>
      </c>
      <c r="AI19" s="26">
        <v>9</v>
      </c>
      <c r="AJ19" s="22">
        <v>42877.646527777775</v>
      </c>
      <c r="AK19"/>
      <c r="AL19">
        <v>3</v>
      </c>
      <c r="AN19" s="112"/>
      <c r="AO19" s="112"/>
      <c r="AP19" s="112"/>
      <c r="AQ19" s="112"/>
      <c r="AR19" s="7" t="str">
        <f>HYPERLINK("https://www.ejacket.nsf.gov/ej/showProposal.do?ID="&amp;ckCodingTable[[#This Row],[prop_id]],"eJ")</f>
        <v>eJ</v>
      </c>
      <c r="AS19" t="s">
        <v>1977</v>
      </c>
      <c r="AT19" t="s">
        <v>2063</v>
      </c>
      <c r="AU19" t="b">
        <f>IF(ckCodingTable[[#This Row],[ILN]]="N",SUBSTITUTE(AT18," ","")&lt;&gt;SUBSTITUTE(ckCodingTable[[#This Row],[prop_titl_txt]]," ",""), FALSE)</f>
        <v>0</v>
      </c>
      <c r="AV19">
        <v>1</v>
      </c>
      <c r="AW19" s="13">
        <v>1499193</v>
      </c>
      <c r="AX19" s="13">
        <v>1499523</v>
      </c>
      <c r="AY19" s="13"/>
      <c r="AZ19" s="13">
        <v>30000</v>
      </c>
      <c r="BA19" s="13">
        <v>197818</v>
      </c>
      <c r="BB19" s="13">
        <v>50000</v>
      </c>
      <c r="BC19">
        <v>13</v>
      </c>
      <c r="BD19">
        <v>13</v>
      </c>
      <c r="BE19">
        <v>7</v>
      </c>
      <c r="BH19">
        <v>2</v>
      </c>
      <c r="BI19">
        <v>0</v>
      </c>
      <c r="BJ19">
        <v>0</v>
      </c>
      <c r="BK19">
        <v>0</v>
      </c>
      <c r="BL19" t="s">
        <v>2064</v>
      </c>
    </row>
    <row r="20" spans="1:64">
      <c r="A20" s="30">
        <v>42955.684733796297</v>
      </c>
      <c r="B20" s="30">
        <v>42809.402083333334</v>
      </c>
      <c r="C20" t="s">
        <v>1965</v>
      </c>
      <c r="D20" t="s">
        <v>741</v>
      </c>
      <c r="E20" t="s">
        <v>901</v>
      </c>
      <c r="F20" t="s">
        <v>1966</v>
      </c>
      <c r="G20" t="s">
        <v>170</v>
      </c>
      <c r="H20" s="21" t="s">
        <v>94</v>
      </c>
      <c r="I20" s="86">
        <v>1</v>
      </c>
      <c r="J20" s="86">
        <v>0</v>
      </c>
      <c r="K20" t="s">
        <v>1967</v>
      </c>
      <c r="L20" t="s">
        <v>942</v>
      </c>
      <c r="M20" t="s">
        <v>2065</v>
      </c>
      <c r="N20" t="str">
        <f>IF(SUM(ckCodingTable[[#This Row],[NfmlPIs]:[NnonWhtAsnPIs]])&gt;0,"WMD","")</f>
        <v/>
      </c>
      <c r="O20" t="b">
        <f>_xlfn.XOR(IFERROR(MATCH(ckCodingTable[[#This Row],[st_code]],EpscorTable[],0)&gt;0,FALSE),IFERROR(FIND("9150",ckCodingTable[[#This Row],[propPRCs]])&gt;0,FALSE))</f>
        <v>0</v>
      </c>
      <c r="P20" s="21" t="b">
        <f>_xlfn.XOR(ckCodingTable[[#This Row],[wmd]]&lt;&gt;"",IFERROR(FIND("9102",ckCodingTable[[#This Row],[propPRCs]])&gt;0,FALSE))</f>
        <v>0</v>
      </c>
      <c r="Q20" t="s">
        <v>1968</v>
      </c>
      <c r="R20" s="22">
        <v>42954.395104166666</v>
      </c>
      <c r="S20" s="108">
        <f>S19+(ckCodingTable[[#This Row],[ILN]]&lt;"M")</f>
        <v>10</v>
      </c>
      <c r="T20" s="21" t="s">
        <v>96</v>
      </c>
      <c r="U20" t="s">
        <v>1064</v>
      </c>
      <c r="V20" s="7" t="str">
        <f>HYPERLINK("https://www.ejacket.nsf.gov/ej/showProposal.do?ID="&amp;ckCodingTable[[#This Row],[prop_id]],"eJ")</f>
        <v>eJ</v>
      </c>
      <c r="W20" t="s">
        <v>742</v>
      </c>
      <c r="X20" t="s">
        <v>1064</v>
      </c>
      <c r="Y20" t="s">
        <v>1065</v>
      </c>
      <c r="Z20" t="s">
        <v>2066</v>
      </c>
      <c r="AA20" t="s">
        <v>2067</v>
      </c>
      <c r="AB20" s="111" t="str">
        <f>HYPERLINK("mailto:"&amp;ckCodingTable[[#This Row],[email]]&amp;"&amp;subject=Your NSF Proposal:  "&amp;ckCodingTable[[#This Row],[Div]]&amp;" "&amp;ckCodingTable[[#This Row],[prop_id]], ckCodingTable[[#This Row],[email]])</f>
        <v>tianbao-yang@uiowa.edu</v>
      </c>
      <c r="AC20" s="30">
        <v>43101</v>
      </c>
      <c r="AD20">
        <v>36</v>
      </c>
      <c r="AE20">
        <v>1</v>
      </c>
      <c r="AF20">
        <v>1</v>
      </c>
      <c r="AG20" s="112"/>
      <c r="AH20" t="s">
        <v>2004</v>
      </c>
      <c r="AI20" s="26">
        <v>3.6666666666666665</v>
      </c>
      <c r="AJ20" s="22">
        <v>42884.193749999999</v>
      </c>
      <c r="AK20"/>
      <c r="AL20">
        <v>3</v>
      </c>
      <c r="AN20" s="112"/>
      <c r="AO20" s="112"/>
      <c r="AP20" s="112"/>
      <c r="AQ20" s="112"/>
      <c r="AR20" s="7" t="str">
        <f>HYPERLINK("https://www.ejacket.nsf.gov/ej/showProposal.do?ID="&amp;ckCodingTable[[#This Row],[prop_id]],"eJ")</f>
        <v>eJ</v>
      </c>
      <c r="AS20" t="s">
        <v>1971</v>
      </c>
      <c r="AT20" t="s">
        <v>2068</v>
      </c>
      <c r="AU20" t="b">
        <f>IF(ckCodingTable[[#This Row],[ILN]]="N",SUBSTITUTE(AT19," ","")&lt;&gt;SUBSTITUTE(ckCodingTable[[#This Row],[prop_titl_txt]]," ",""), FALSE)</f>
        <v>0</v>
      </c>
      <c r="AV20">
        <v>0</v>
      </c>
      <c r="AW20" s="13">
        <v>1496165</v>
      </c>
      <c r="AX20" s="13">
        <v>1496165</v>
      </c>
      <c r="AY20" s="13"/>
      <c r="AZ20" s="13">
        <v>82600</v>
      </c>
      <c r="BA20" s="13"/>
      <c r="BB20" s="13"/>
      <c r="BC20">
        <v>20</v>
      </c>
      <c r="BD20">
        <v>27</v>
      </c>
      <c r="BE20">
        <v>11.4</v>
      </c>
      <c r="BH20">
        <v>0</v>
      </c>
      <c r="BI20">
        <v>0</v>
      </c>
      <c r="BJ20">
        <v>0</v>
      </c>
      <c r="BK20">
        <v>0</v>
      </c>
      <c r="BL20" t="s">
        <v>2069</v>
      </c>
    </row>
    <row r="21" spans="1:64">
      <c r="A21" s="30">
        <v>42964.70815972222</v>
      </c>
      <c r="B21" s="30">
        <v>42809.422222222223</v>
      </c>
      <c r="C21" t="s">
        <v>1965</v>
      </c>
      <c r="D21" t="s">
        <v>741</v>
      </c>
      <c r="E21" t="s">
        <v>901</v>
      </c>
      <c r="F21" t="s">
        <v>1966</v>
      </c>
      <c r="G21" t="s">
        <v>170</v>
      </c>
      <c r="H21" s="21" t="s">
        <v>94</v>
      </c>
      <c r="I21" s="86">
        <v>1</v>
      </c>
      <c r="J21" s="86">
        <v>0</v>
      </c>
      <c r="K21" t="s">
        <v>1967</v>
      </c>
      <c r="L21" t="s">
        <v>948</v>
      </c>
      <c r="M21" t="s">
        <v>2065</v>
      </c>
      <c r="N21" t="str">
        <f>IF(SUM(ckCodingTable[[#This Row],[NfmlPIs]:[NnonWhtAsnPIs]])&gt;0,"WMD","")</f>
        <v/>
      </c>
      <c r="O21" t="b">
        <f>_xlfn.XOR(IFERROR(MATCH(ckCodingTable[[#This Row],[st_code]],EpscorTable[],0)&gt;0,FALSE),IFERROR(FIND("9150",ckCodingTable[[#This Row],[propPRCs]])&gt;0,FALSE))</f>
        <v>0</v>
      </c>
      <c r="P21" s="21" t="b">
        <f>_xlfn.XOR(ckCodingTable[[#This Row],[wmd]]&lt;&gt;"",IFERROR(FIND("9102",ckCodingTable[[#This Row],[propPRCs]])&gt;0,FALSE))</f>
        <v>0</v>
      </c>
      <c r="Q21" t="s">
        <v>1968</v>
      </c>
      <c r="R21" s="22">
        <v>42958.628692129627</v>
      </c>
      <c r="S21" s="108">
        <f>S20+(ckCodingTable[[#This Row],[ILN]]&lt;"M")</f>
        <v>11</v>
      </c>
      <c r="T21" s="21" t="s">
        <v>1981</v>
      </c>
      <c r="U21" t="s">
        <v>1073</v>
      </c>
      <c r="V21" s="7" t="str">
        <f>HYPERLINK("https://www.ejacket.nsf.gov/ej/showProposal.do?ID="&amp;ckCodingTable[[#This Row],[prop_id]],"eJ")</f>
        <v>eJ</v>
      </c>
      <c r="W21" t="s">
        <v>742</v>
      </c>
      <c r="X21" t="s">
        <v>1073</v>
      </c>
      <c r="Y21" t="s">
        <v>1074</v>
      </c>
      <c r="Z21" t="s">
        <v>2070</v>
      </c>
      <c r="AA21" t="s">
        <v>2071</v>
      </c>
      <c r="AB21" s="111" t="str">
        <f>HYPERLINK("mailto:"&amp;ckCodingTable[[#This Row],[email]]&amp;"&amp;subject=Your NSF Proposal:  "&amp;ckCodingTable[[#This Row],[Div]]&amp;" "&amp;ckCodingTable[[#This Row],[prop_id]], ckCodingTable[[#This Row],[email]])</f>
        <v>hridesh@iastate.edu</v>
      </c>
      <c r="AC21" s="30">
        <v>43009</v>
      </c>
      <c r="AD21">
        <v>36</v>
      </c>
      <c r="AE21">
        <v>1</v>
      </c>
      <c r="AG21" s="112"/>
      <c r="AH21" t="s">
        <v>2072</v>
      </c>
      <c r="AI21" s="26">
        <v>6.333333333333333</v>
      </c>
      <c r="AJ21" s="22">
        <v>42877.394444444442</v>
      </c>
      <c r="AK21"/>
      <c r="AL21">
        <v>3</v>
      </c>
      <c r="AN21" s="112"/>
      <c r="AO21" s="112"/>
      <c r="AP21" s="112"/>
      <c r="AQ21" s="112"/>
      <c r="AR21" s="7" t="str">
        <f>HYPERLINK("https://www.ejacket.nsf.gov/ej/showProposal.do?ID="&amp;ckCodingTable[[#This Row],[prop_id]],"eJ")</f>
        <v>eJ</v>
      </c>
      <c r="AS21" t="s">
        <v>1971</v>
      </c>
      <c r="AT21" t="s">
        <v>2073</v>
      </c>
      <c r="AU21" t="b">
        <f>IF(ckCodingTable[[#This Row],[ILN]]="N",SUBSTITUTE(AT20," ","")&lt;&gt;SUBSTITUTE(ckCodingTable[[#This Row],[prop_titl_txt]]," ",""), FALSE)</f>
        <v>0</v>
      </c>
      <c r="AV21">
        <v>0</v>
      </c>
      <c r="AW21" s="13">
        <v>1195362</v>
      </c>
      <c r="AX21" s="13">
        <v>1195362</v>
      </c>
      <c r="AY21" s="13">
        <v>357898</v>
      </c>
      <c r="AZ21" s="13"/>
      <c r="BA21" s="13"/>
      <c r="BB21" s="13"/>
      <c r="BC21">
        <v>12</v>
      </c>
      <c r="BD21">
        <v>21</v>
      </c>
      <c r="BF21">
        <v>4.2</v>
      </c>
      <c r="BH21">
        <v>0</v>
      </c>
      <c r="BI21">
        <v>0</v>
      </c>
      <c r="BJ21">
        <v>0</v>
      </c>
      <c r="BK21">
        <v>0</v>
      </c>
      <c r="BL21" t="s">
        <v>2074</v>
      </c>
    </row>
    <row r="22" spans="1:64">
      <c r="A22" s="30">
        <v>42964.70815972222</v>
      </c>
      <c r="B22" s="30">
        <v>42808.477083333331</v>
      </c>
      <c r="C22" t="s">
        <v>1965</v>
      </c>
      <c r="D22" t="s">
        <v>741</v>
      </c>
      <c r="E22" t="s">
        <v>901</v>
      </c>
      <c r="F22" t="s">
        <v>1966</v>
      </c>
      <c r="G22" t="s">
        <v>170</v>
      </c>
      <c r="H22" s="21" t="s">
        <v>94</v>
      </c>
      <c r="I22" s="86">
        <v>1</v>
      </c>
      <c r="J22" s="86">
        <v>0</v>
      </c>
      <c r="K22" t="s">
        <v>1967</v>
      </c>
      <c r="L22" t="s">
        <v>948</v>
      </c>
      <c r="M22" t="s">
        <v>2039</v>
      </c>
      <c r="N22" t="str">
        <f>IF(SUM(ckCodingTable[[#This Row],[NfmlPIs]:[NnonWhtAsnPIs]])&gt;0,"WMD","")</f>
        <v>WMD</v>
      </c>
      <c r="O22" t="b">
        <f>_xlfn.XOR(IFERROR(MATCH(ckCodingTable[[#This Row],[st_code]],EpscorTable[],0)&gt;0,FALSE),IFERROR(FIND("9150",ckCodingTable[[#This Row],[propPRCs]])&gt;0,FALSE))</f>
        <v>0</v>
      </c>
      <c r="P22" s="21" t="b">
        <f>_xlfn.XOR(ckCodingTable[[#This Row],[wmd]]&lt;&gt;"",IFERROR(FIND("9102",ckCodingTable[[#This Row],[propPRCs]])&gt;0,FALSE))</f>
        <v>1</v>
      </c>
      <c r="Q22" t="s">
        <v>1968</v>
      </c>
      <c r="R22" s="22">
        <v>42958.628692129627</v>
      </c>
      <c r="S22" s="108">
        <f>S21+(ckCodingTable[[#This Row],[ILN]]&lt;"M")</f>
        <v>11</v>
      </c>
      <c r="T22" s="21" t="s">
        <v>1989</v>
      </c>
      <c r="U22" t="s">
        <v>1073</v>
      </c>
      <c r="V22" s="7" t="str">
        <f>HYPERLINK("https://www.ejacket.nsf.gov/ej/showProposal.do?ID="&amp;ckCodingTable[[#This Row],[prop_id]],"eJ")</f>
        <v>eJ</v>
      </c>
      <c r="W22" t="s">
        <v>742</v>
      </c>
      <c r="X22" t="s">
        <v>2075</v>
      </c>
      <c r="Y22" t="s">
        <v>2076</v>
      </c>
      <c r="Z22" t="s">
        <v>2077</v>
      </c>
      <c r="AA22" t="s">
        <v>2078</v>
      </c>
      <c r="AB22" s="111" t="str">
        <f>HYPERLINK("mailto:"&amp;ckCodingTable[[#This Row],[email]]&amp;"&amp;subject=Your NSF Proposal:  "&amp;ckCodingTable[[#This Row],[Div]]&amp;" "&amp;ckCodingTable[[#This Row],[prop_id]], ckCodingTable[[#This Row],[email]])</f>
        <v>plale@cs.indiana.edu</v>
      </c>
      <c r="AC22" s="30">
        <v>43009</v>
      </c>
      <c r="AD22">
        <v>36</v>
      </c>
      <c r="AG22" s="112"/>
      <c r="AI22" s="26"/>
      <c r="AJ22" s="22"/>
      <c r="AK22"/>
      <c r="AN22" s="112"/>
      <c r="AO22" s="112"/>
      <c r="AP22" s="112"/>
      <c r="AQ22" s="112"/>
      <c r="AR22" s="7" t="str">
        <f>HYPERLINK("https://www.ejacket.nsf.gov/ej/showProposal.do?ID="&amp;ckCodingTable[[#This Row],[prop_id]],"eJ")</f>
        <v>eJ</v>
      </c>
      <c r="AS22" t="s">
        <v>1971</v>
      </c>
      <c r="AT22" t="s">
        <v>2073</v>
      </c>
      <c r="AU22" t="b">
        <f>IF(ckCodingTable[[#This Row],[ILN]]="N",SUBSTITUTE(AT21," ","")&lt;&gt;SUBSTITUTE(ckCodingTable[[#This Row],[prop_titl_txt]]," ",""), FALSE)</f>
        <v>0</v>
      </c>
      <c r="AV22">
        <v>0</v>
      </c>
      <c r="AW22" s="13">
        <v>302228</v>
      </c>
      <c r="AX22" s="13">
        <v>302228</v>
      </c>
      <c r="AY22" s="13"/>
      <c r="AZ22" s="13"/>
      <c r="BA22" s="13"/>
      <c r="BB22" s="13"/>
      <c r="BC22">
        <v>3</v>
      </c>
      <c r="BD22">
        <v>12</v>
      </c>
      <c r="BE22">
        <v>1.8</v>
      </c>
      <c r="BG22">
        <v>1.8</v>
      </c>
      <c r="BH22">
        <v>3</v>
      </c>
      <c r="BI22">
        <v>0</v>
      </c>
      <c r="BJ22">
        <v>1</v>
      </c>
      <c r="BK22">
        <v>0</v>
      </c>
      <c r="BL22" t="s">
        <v>2079</v>
      </c>
    </row>
    <row r="23" spans="1:64">
      <c r="A23" s="30">
        <v>42955.686261574076</v>
      </c>
      <c r="B23" s="30">
        <v>42809.441666666666</v>
      </c>
      <c r="C23" t="s">
        <v>1965</v>
      </c>
      <c r="D23" t="s">
        <v>741</v>
      </c>
      <c r="E23" t="s">
        <v>901</v>
      </c>
      <c r="F23" t="s">
        <v>1966</v>
      </c>
      <c r="G23" t="s">
        <v>170</v>
      </c>
      <c r="H23" s="21" t="s">
        <v>94</v>
      </c>
      <c r="I23" s="86">
        <v>1</v>
      </c>
      <c r="J23" s="86">
        <v>0</v>
      </c>
      <c r="K23" t="s">
        <v>1967</v>
      </c>
      <c r="L23" t="s">
        <v>540</v>
      </c>
      <c r="M23" t="s">
        <v>98</v>
      </c>
      <c r="N23" t="str">
        <f>IF(SUM(ckCodingTable[[#This Row],[NfmlPIs]:[NnonWhtAsnPIs]])&gt;0,"WMD","")</f>
        <v>WMD</v>
      </c>
      <c r="O23" t="b">
        <f>_xlfn.XOR(IFERROR(MATCH(ckCodingTable[[#This Row],[st_code]],EpscorTable[],0)&gt;0,FALSE),IFERROR(FIND("9150",ckCodingTable[[#This Row],[propPRCs]])&gt;0,FALSE))</f>
        <v>0</v>
      </c>
      <c r="P23" s="21" t="b">
        <f>_xlfn.XOR(ckCodingTable[[#This Row],[wmd]]&lt;&gt;"",IFERROR(FIND("9102",ckCodingTable[[#This Row],[propPRCs]])&gt;0,FALSE))</f>
        <v>0</v>
      </c>
      <c r="Q23" t="s">
        <v>1987</v>
      </c>
      <c r="R23" s="22">
        <v>42914.640416666669</v>
      </c>
      <c r="S23" s="108">
        <f>S22+(ckCodingTable[[#This Row],[ILN]]&lt;"M")</f>
        <v>12</v>
      </c>
      <c r="T23" s="21" t="s">
        <v>96</v>
      </c>
      <c r="U23" t="s">
        <v>1081</v>
      </c>
      <c r="V23" s="7" t="str">
        <f>HYPERLINK("https://www.ejacket.nsf.gov/ej/showProposal.do?ID="&amp;ckCodingTable[[#This Row],[prop_id]],"eJ")</f>
        <v>eJ</v>
      </c>
      <c r="W23" t="s">
        <v>742</v>
      </c>
      <c r="X23" t="s">
        <v>1081</v>
      </c>
      <c r="Y23" t="s">
        <v>1082</v>
      </c>
      <c r="Z23" t="s">
        <v>2080</v>
      </c>
      <c r="AA23" t="s">
        <v>2081</v>
      </c>
      <c r="AB23" s="113" t="str">
        <f>HYPERLINK("mailto:"&amp;ckCodingTable[[#This Row],[email]]&amp;"&amp;subject=Your NSF Proposal:  "&amp;ckCodingTable[[#This Row],[Div]]&amp;" "&amp;ckCodingTable[[#This Row],[prop_id]], ckCodingTable[[#This Row],[email]])</f>
        <v>noah_daniels@uri.edu</v>
      </c>
      <c r="AC23" s="30">
        <v>42979</v>
      </c>
      <c r="AD23">
        <v>36</v>
      </c>
      <c r="AE23">
        <v>1</v>
      </c>
      <c r="AF23">
        <v>1</v>
      </c>
      <c r="AG23" s="122"/>
      <c r="AH23" t="s">
        <v>2082</v>
      </c>
      <c r="AI23" s="26">
        <v>1.6666666666666667</v>
      </c>
      <c r="AJ23" s="22">
        <v>42872.461111111108</v>
      </c>
      <c r="AL23">
        <v>3</v>
      </c>
      <c r="AN23" s="122"/>
      <c r="AO23" s="122"/>
      <c r="AP23" s="122"/>
      <c r="AQ23" s="122"/>
      <c r="AR23" s="123" t="str">
        <f>HYPERLINK("https://www.ejacket.nsf.gov/ej/showProposal.do?ID="&amp;ckCodingTable[[#This Row],[prop_id]],"eJ")</f>
        <v>eJ</v>
      </c>
      <c r="AS23" t="s">
        <v>1971</v>
      </c>
      <c r="AT23" t="s">
        <v>2083</v>
      </c>
      <c r="AU23" t="b">
        <f>IF(ckCodingTable[[#This Row],[ILN]]="N",SUBSTITUTE(AT22," ","")&lt;&gt;SUBSTITUTE(ckCodingTable[[#This Row],[prop_titl_txt]]," ",""), FALSE)</f>
        <v>0</v>
      </c>
      <c r="AV23">
        <v>0</v>
      </c>
      <c r="AW23" s="124">
        <v>1319163</v>
      </c>
      <c r="AX23" s="124">
        <v>1319163</v>
      </c>
      <c r="AY23" s="124"/>
      <c r="AZ23" s="124">
        <v>15000</v>
      </c>
      <c r="BA23" s="124">
        <v>155628</v>
      </c>
      <c r="BB23" s="124">
        <v>66000</v>
      </c>
      <c r="BC23">
        <v>23</v>
      </c>
      <c r="BD23">
        <v>9</v>
      </c>
      <c r="BE23">
        <v>18</v>
      </c>
      <c r="BH23">
        <v>1</v>
      </c>
      <c r="BI23">
        <v>0</v>
      </c>
      <c r="BJ23">
        <v>0</v>
      </c>
      <c r="BK23">
        <v>0</v>
      </c>
      <c r="BL23" t="s">
        <v>2084</v>
      </c>
    </row>
    <row r="24" spans="1:64">
      <c r="A24" s="30">
        <v>42933.475868055553</v>
      </c>
      <c r="B24" s="30">
        <v>42809.474999999999</v>
      </c>
      <c r="C24" t="s">
        <v>1965</v>
      </c>
      <c r="D24" t="s">
        <v>741</v>
      </c>
      <c r="E24" t="s">
        <v>901</v>
      </c>
      <c r="F24" t="s">
        <v>1974</v>
      </c>
      <c r="G24" t="s">
        <v>170</v>
      </c>
      <c r="H24" s="21" t="s">
        <v>94</v>
      </c>
      <c r="I24" s="86">
        <v>1</v>
      </c>
      <c r="J24" s="86">
        <v>0</v>
      </c>
      <c r="K24" t="s">
        <v>1967</v>
      </c>
      <c r="L24" t="s">
        <v>540</v>
      </c>
      <c r="M24" t="s">
        <v>98</v>
      </c>
      <c r="N24" t="str">
        <f>IF(SUM(ckCodingTable[[#This Row],[NfmlPIs]:[NnonWhtAsnPIs]])&gt;0,"WMD","")</f>
        <v/>
      </c>
      <c r="O24" t="b">
        <f>_xlfn.XOR(IFERROR(MATCH(ckCodingTable[[#This Row],[st_code]],EpscorTable[],0)&gt;0,FALSE),IFERROR(FIND("9150",ckCodingTable[[#This Row],[propPRCs]])&gt;0,FALSE))</f>
        <v>0</v>
      </c>
      <c r="P24" s="21" t="b">
        <f>_xlfn.XOR(ckCodingTable[[#This Row],[wmd]]&lt;&gt;"",IFERROR(FIND("9102",ckCodingTable[[#This Row],[propPRCs]])&gt;0,FALSE))</f>
        <v>0</v>
      </c>
      <c r="Q24" t="s">
        <v>2085</v>
      </c>
      <c r="R24" s="22">
        <v>42927.466689814813</v>
      </c>
      <c r="S24" s="108">
        <f>S23+(ckCodingTable[[#This Row],[ILN]]&lt;"M")</f>
        <v>13</v>
      </c>
      <c r="T24" s="21" t="s">
        <v>96</v>
      </c>
      <c r="U24" t="s">
        <v>1094</v>
      </c>
      <c r="V24" s="7" t="str">
        <f>HYPERLINK("https://www.ejacket.nsf.gov/ej/showProposal.do?ID="&amp;ckCodingTable[[#This Row],[prop_id]],"eJ")</f>
        <v>eJ</v>
      </c>
      <c r="W24" t="s">
        <v>742</v>
      </c>
      <c r="X24" t="s">
        <v>1094</v>
      </c>
      <c r="Y24" t="s">
        <v>1095</v>
      </c>
      <c r="Z24" t="s">
        <v>2086</v>
      </c>
      <c r="AA24" t="s">
        <v>2087</v>
      </c>
      <c r="AB24" s="113" t="str">
        <f>HYPERLINK("mailto:"&amp;ckCodingTable[[#This Row],[email]]&amp;"&amp;subject=Your NSF Proposal:  "&amp;ckCodingTable[[#This Row],[Div]]&amp;" "&amp;ckCodingTable[[#This Row],[prop_id]], ckCodingTable[[#This Row],[email]])</f>
        <v>Jeff_Brock@brown.edu</v>
      </c>
      <c r="AC24" s="30">
        <v>42979</v>
      </c>
      <c r="AD24">
        <v>36</v>
      </c>
      <c r="AE24">
        <v>1</v>
      </c>
      <c r="AG24" s="122"/>
      <c r="AH24" t="s">
        <v>1976</v>
      </c>
      <c r="AI24" s="26">
        <v>7.333333333333333</v>
      </c>
      <c r="AJ24" s="22">
        <v>42872.390277777777</v>
      </c>
      <c r="AL24">
        <v>3</v>
      </c>
      <c r="AN24" s="122"/>
      <c r="AO24" s="122"/>
      <c r="AP24" s="122"/>
      <c r="AQ24" s="122"/>
      <c r="AR24" s="123" t="str">
        <f>HYPERLINK("https://www.ejacket.nsf.gov/ej/showProposal.do?ID="&amp;ckCodingTable[[#This Row],[prop_id]],"eJ")</f>
        <v>eJ</v>
      </c>
      <c r="AS24" t="s">
        <v>1977</v>
      </c>
      <c r="AT24" t="s">
        <v>2088</v>
      </c>
      <c r="AU24" t="b">
        <f>IF(ckCodingTable[[#This Row],[ILN]]="N",SUBSTITUTE(AT23," ","")&lt;&gt;SUBSTITUTE(ckCodingTable[[#This Row],[prop_titl_txt]]," ",""), FALSE)</f>
        <v>0</v>
      </c>
      <c r="AV24">
        <v>0</v>
      </c>
      <c r="AW24" s="124">
        <v>1482177</v>
      </c>
      <c r="AX24" s="124">
        <v>1482177</v>
      </c>
      <c r="AY24" s="124"/>
      <c r="AZ24" s="124"/>
      <c r="BA24" s="124">
        <v>204000</v>
      </c>
      <c r="BB24" s="124">
        <v>330000</v>
      </c>
      <c r="BC24">
        <v>15</v>
      </c>
      <c r="BD24">
        <v>15</v>
      </c>
      <c r="BE24">
        <v>7.5</v>
      </c>
      <c r="BH24">
        <v>0</v>
      </c>
      <c r="BI24">
        <v>0</v>
      </c>
      <c r="BJ24">
        <v>0</v>
      </c>
      <c r="BK24">
        <v>0</v>
      </c>
      <c r="BL24" t="s">
        <v>2089</v>
      </c>
    </row>
    <row r="25" spans="1:64">
      <c r="A25" s="30">
        <v>42955.725289351853</v>
      </c>
      <c r="B25" s="30">
        <v>42809.494444444441</v>
      </c>
      <c r="C25" t="s">
        <v>1965</v>
      </c>
      <c r="D25" t="s">
        <v>741</v>
      </c>
      <c r="E25" t="s">
        <v>901</v>
      </c>
      <c r="F25" t="s">
        <v>1966</v>
      </c>
      <c r="G25" t="s">
        <v>170</v>
      </c>
      <c r="H25" s="21" t="s">
        <v>94</v>
      </c>
      <c r="I25" s="86">
        <v>1</v>
      </c>
      <c r="J25" s="86">
        <v>0</v>
      </c>
      <c r="K25" t="s">
        <v>1967</v>
      </c>
      <c r="L25" t="s">
        <v>540</v>
      </c>
      <c r="M25" t="s">
        <v>257</v>
      </c>
      <c r="N25" t="str">
        <f>IF(SUM(ckCodingTable[[#This Row],[NfmlPIs]:[NnonWhtAsnPIs]])&gt;0,"WMD","")</f>
        <v/>
      </c>
      <c r="O25" t="b">
        <f>_xlfn.XOR(IFERROR(MATCH(ckCodingTable[[#This Row],[st_code]],EpscorTable[],0)&gt;0,FALSE),IFERROR(FIND("9150",ckCodingTable[[#This Row],[propPRCs]])&gt;0,FALSE))</f>
        <v>0</v>
      </c>
      <c r="P25" s="21" t="b">
        <f>_xlfn.XOR(ckCodingTable[[#This Row],[wmd]]&lt;&gt;"",IFERROR(FIND("9102",ckCodingTable[[#This Row],[propPRCs]])&gt;0,FALSE))</f>
        <v>0</v>
      </c>
      <c r="Q25" t="s">
        <v>1968</v>
      </c>
      <c r="R25" s="22">
        <v>42914.640474537038</v>
      </c>
      <c r="S25" s="108">
        <f>S24+(ckCodingTable[[#This Row],[ILN]]&lt;"M")</f>
        <v>14</v>
      </c>
      <c r="T25" s="21" t="s">
        <v>1981</v>
      </c>
      <c r="U25" t="s">
        <v>1112</v>
      </c>
      <c r="V25" s="7" t="str">
        <f>HYPERLINK("https://www.ejacket.nsf.gov/ej/showProposal.do?ID="&amp;ckCodingTable[[#This Row],[prop_id]],"eJ")</f>
        <v>eJ</v>
      </c>
      <c r="W25" t="s">
        <v>742</v>
      </c>
      <c r="X25" t="s">
        <v>1112</v>
      </c>
      <c r="Y25" t="s">
        <v>1113</v>
      </c>
      <c r="Z25" t="s">
        <v>2090</v>
      </c>
      <c r="AA25" t="s">
        <v>775</v>
      </c>
      <c r="AB25" s="113" t="str">
        <f>HYPERLINK("mailto:"&amp;ckCodingTable[[#This Row],[email]]&amp;"&amp;subject=Your NSF Proposal:  "&amp;ckCodingTable[[#This Row],[Div]]&amp;" "&amp;ckCodingTable[[#This Row],[prop_id]], ckCodingTable[[#This Row],[email]])</f>
        <v>EDELMAN@MATH.MIT.EDU</v>
      </c>
      <c r="AC25" s="30">
        <v>43009</v>
      </c>
      <c r="AD25">
        <v>36</v>
      </c>
      <c r="AE25">
        <v>1</v>
      </c>
      <c r="AF25">
        <v>1</v>
      </c>
      <c r="AG25" s="122"/>
      <c r="AH25" t="s">
        <v>1984</v>
      </c>
      <c r="AI25" s="26">
        <v>4.333333333333333</v>
      </c>
      <c r="AJ25" s="22">
        <v>42871.874305555553</v>
      </c>
      <c r="AL25">
        <v>3</v>
      </c>
      <c r="AN25" s="122"/>
      <c r="AO25" s="122"/>
      <c r="AP25" s="122"/>
      <c r="AQ25" s="122"/>
      <c r="AR25" s="123" t="str">
        <f>HYPERLINK("https://www.ejacket.nsf.gov/ej/showProposal.do?ID="&amp;ckCodingTable[[#This Row],[prop_id]],"eJ")</f>
        <v>eJ</v>
      </c>
      <c r="AS25" t="s">
        <v>1971</v>
      </c>
      <c r="AT25" t="s">
        <v>2091</v>
      </c>
      <c r="AU25" t="b">
        <f>IF(ckCodingTable[[#This Row],[ILN]]="N",SUBSTITUTE(AT24," ","")&lt;&gt;SUBSTITUTE(ckCodingTable[[#This Row],[prop_titl_txt]]," ",""), FALSE)</f>
        <v>0</v>
      </c>
      <c r="AV25">
        <v>0</v>
      </c>
      <c r="AW25" s="124">
        <v>600000</v>
      </c>
      <c r="AX25" s="124">
        <v>600000</v>
      </c>
      <c r="AY25" s="124"/>
      <c r="AZ25" s="124"/>
      <c r="BA25" s="124"/>
      <c r="BB25" s="124"/>
      <c r="BH25">
        <v>0</v>
      </c>
      <c r="BI25">
        <v>0</v>
      </c>
      <c r="BJ25">
        <v>0</v>
      </c>
      <c r="BK25">
        <v>0</v>
      </c>
      <c r="BL25" t="s">
        <v>2092</v>
      </c>
    </row>
    <row r="26" spans="1:64">
      <c r="A26" s="30">
        <v>42955.725289351853</v>
      </c>
      <c r="B26" s="30">
        <v>42808.49722222222</v>
      </c>
      <c r="C26" t="s">
        <v>1965</v>
      </c>
      <c r="D26" t="s">
        <v>741</v>
      </c>
      <c r="E26" t="s">
        <v>901</v>
      </c>
      <c r="F26" t="s">
        <v>1966</v>
      </c>
      <c r="G26" t="s">
        <v>170</v>
      </c>
      <c r="H26" s="21" t="s">
        <v>94</v>
      </c>
      <c r="I26" s="86">
        <v>1</v>
      </c>
      <c r="J26" s="86">
        <v>0</v>
      </c>
      <c r="K26" t="s">
        <v>1967</v>
      </c>
      <c r="L26" t="s">
        <v>540</v>
      </c>
      <c r="M26" t="s">
        <v>257</v>
      </c>
      <c r="N26" t="str">
        <f>IF(SUM(ckCodingTable[[#This Row],[NfmlPIs]:[NnonWhtAsnPIs]])&gt;0,"WMD","")</f>
        <v/>
      </c>
      <c r="O26" t="b">
        <f>_xlfn.XOR(IFERROR(MATCH(ckCodingTable[[#This Row],[st_code]],EpscorTable[],0)&gt;0,FALSE),IFERROR(FIND("9150",ckCodingTable[[#This Row],[propPRCs]])&gt;0,FALSE))</f>
        <v>0</v>
      </c>
      <c r="P26" s="21" t="b">
        <f>_xlfn.XOR(ckCodingTable[[#This Row],[wmd]]&lt;&gt;"",IFERROR(FIND("9102",ckCodingTable[[#This Row],[propPRCs]])&gt;0,FALSE))</f>
        <v>0</v>
      </c>
      <c r="Q26" t="s">
        <v>1968</v>
      </c>
      <c r="R26" s="22">
        <v>42914.640474537038</v>
      </c>
      <c r="S26" s="108">
        <f>S25+(ckCodingTable[[#This Row],[ILN]]&lt;"M")</f>
        <v>14</v>
      </c>
      <c r="T26" s="21" t="s">
        <v>1989</v>
      </c>
      <c r="U26" t="s">
        <v>1112</v>
      </c>
      <c r="V26" s="7" t="str">
        <f>HYPERLINK("https://www.ejacket.nsf.gov/ej/showProposal.do?ID="&amp;ckCodingTable[[#This Row],[prop_id]],"eJ")</f>
        <v>eJ</v>
      </c>
      <c r="W26" t="s">
        <v>742</v>
      </c>
      <c r="X26" t="s">
        <v>2093</v>
      </c>
      <c r="Y26" t="s">
        <v>2094</v>
      </c>
      <c r="Z26" t="s">
        <v>2095</v>
      </c>
      <c r="AA26" t="s">
        <v>2096</v>
      </c>
      <c r="AB26" s="113" t="str">
        <f>HYPERLINK("mailto:"&amp;ckCodingTable[[#This Row],[email]]&amp;"&amp;subject=Your NSF Proposal:  "&amp;ckCodingTable[[#This Row],[Div]]&amp;" "&amp;ckCodingTable[[#This Row],[prop_id]], ckCodingTable[[#This Row],[email]])</f>
        <v>johnq@jimmy.harvard.edu</v>
      </c>
      <c r="AC26" s="30">
        <v>43009</v>
      </c>
      <c r="AD26">
        <v>36</v>
      </c>
      <c r="AG26" s="122"/>
      <c r="AI26" s="26"/>
      <c r="AJ26" s="22"/>
      <c r="AN26" s="122"/>
      <c r="AO26" s="122"/>
      <c r="AP26" s="122"/>
      <c r="AQ26" s="122"/>
      <c r="AR26" s="123" t="str">
        <f>HYPERLINK("https://www.ejacket.nsf.gov/ej/showProposal.do?ID="&amp;ckCodingTable[[#This Row],[prop_id]],"eJ")</f>
        <v>eJ</v>
      </c>
      <c r="AS26" t="s">
        <v>1971</v>
      </c>
      <c r="AT26" t="s">
        <v>2091</v>
      </c>
      <c r="AU26" t="b">
        <f>IF(ckCodingTable[[#This Row],[ILN]]="N",SUBSTITUTE(AT25," ","")&lt;&gt;SUBSTITUTE(ckCodingTable[[#This Row],[prop_titl_txt]]," ",""), FALSE)</f>
        <v>0</v>
      </c>
      <c r="AV26">
        <v>0</v>
      </c>
      <c r="AW26" s="124">
        <v>450000</v>
      </c>
      <c r="AX26" s="124">
        <v>450000</v>
      </c>
      <c r="AY26" s="124"/>
      <c r="AZ26" s="124"/>
      <c r="BA26" s="124">
        <v>115470</v>
      </c>
      <c r="BB26" s="124"/>
      <c r="BD26">
        <v>3</v>
      </c>
      <c r="BG26">
        <v>1.8</v>
      </c>
      <c r="BH26">
        <v>0</v>
      </c>
      <c r="BI26">
        <v>0</v>
      </c>
      <c r="BJ26">
        <v>0</v>
      </c>
      <c r="BK26">
        <v>0</v>
      </c>
      <c r="BL26" t="s">
        <v>2097</v>
      </c>
    </row>
    <row r="27" spans="1:64">
      <c r="A27" s="30">
        <v>42955.725289351853</v>
      </c>
      <c r="B27" s="30">
        <v>42809.477083333331</v>
      </c>
      <c r="C27" t="s">
        <v>1965</v>
      </c>
      <c r="D27" t="s">
        <v>741</v>
      </c>
      <c r="E27" t="s">
        <v>901</v>
      </c>
      <c r="F27" t="s">
        <v>1966</v>
      </c>
      <c r="G27" t="s">
        <v>170</v>
      </c>
      <c r="H27" s="21" t="s">
        <v>94</v>
      </c>
      <c r="I27" s="86">
        <v>1</v>
      </c>
      <c r="J27" s="86">
        <v>0</v>
      </c>
      <c r="K27" t="s">
        <v>1967</v>
      </c>
      <c r="L27" t="s">
        <v>540</v>
      </c>
      <c r="M27" t="s">
        <v>258</v>
      </c>
      <c r="N27" t="str">
        <f>IF(SUM(ckCodingTable[[#This Row],[NfmlPIs]:[NnonWhtAsnPIs]])&gt;0,"WMD","")</f>
        <v/>
      </c>
      <c r="O27" t="b">
        <f>_xlfn.XOR(IFERROR(MATCH(ckCodingTable[[#This Row],[st_code]],EpscorTable[],0)&gt;0,FALSE),IFERROR(FIND("9150",ckCodingTable[[#This Row],[propPRCs]])&gt;0,FALSE))</f>
        <v>0</v>
      </c>
      <c r="P27" s="21" t="b">
        <f>_xlfn.XOR(ckCodingTable[[#This Row],[wmd]]&lt;&gt;"",IFERROR(FIND("9102",ckCodingTable[[#This Row],[propPRCs]])&gt;0,FALSE))</f>
        <v>0</v>
      </c>
      <c r="Q27" t="s">
        <v>1968</v>
      </c>
      <c r="R27" s="22">
        <v>42914.640474537038</v>
      </c>
      <c r="S27" s="108">
        <f>S26+(ckCodingTable[[#This Row],[ILN]]&lt;"M")</f>
        <v>14</v>
      </c>
      <c r="T27" s="21" t="s">
        <v>1989</v>
      </c>
      <c r="U27" t="s">
        <v>1112</v>
      </c>
      <c r="V27" s="7" t="str">
        <f>HYPERLINK("https://www.ejacket.nsf.gov/ej/showProposal.do?ID="&amp;ckCodingTable[[#This Row],[prop_id]],"eJ")</f>
        <v>eJ</v>
      </c>
      <c r="W27" t="s">
        <v>742</v>
      </c>
      <c r="X27" t="s">
        <v>2098</v>
      </c>
      <c r="Y27" t="s">
        <v>2099</v>
      </c>
      <c r="Z27" t="s">
        <v>2100</v>
      </c>
      <c r="AA27" t="s">
        <v>2101</v>
      </c>
      <c r="AB27" s="113" t="str">
        <f>HYPERLINK("mailto:"&amp;ckCodingTable[[#This Row],[email]]&amp;"&amp;subject=Your NSF Proposal:  "&amp;ckCodingTable[[#This Row],[Div]]&amp;" "&amp;ckCodingTable[[#This Row],[prop_id]], ckCodingTable[[#This Row],[email]])</f>
        <v>gelman@stat.columbia.edu</v>
      </c>
      <c r="AC27" s="30">
        <v>43009</v>
      </c>
      <c r="AD27">
        <v>36</v>
      </c>
      <c r="AG27" s="122"/>
      <c r="AI27" s="26"/>
      <c r="AJ27" s="22"/>
      <c r="AN27" s="122"/>
      <c r="AO27" s="122"/>
      <c r="AP27" s="122"/>
      <c r="AQ27" s="122"/>
      <c r="AR27" s="123" t="str">
        <f>HYPERLINK("https://www.ejacket.nsf.gov/ej/showProposal.do?ID="&amp;ckCodingTable[[#This Row],[prop_id]],"eJ")</f>
        <v>eJ</v>
      </c>
      <c r="AS27" t="s">
        <v>1971</v>
      </c>
      <c r="AT27" t="s">
        <v>2091</v>
      </c>
      <c r="AU27" t="b">
        <f>IF(ckCodingTable[[#This Row],[ILN]]="N",SUBSTITUTE(AT26," ","")&lt;&gt;SUBSTITUTE(ckCodingTable[[#This Row],[prop_titl_txt]]," ",""), FALSE)</f>
        <v>0</v>
      </c>
      <c r="AV27">
        <v>1</v>
      </c>
      <c r="AW27" s="124">
        <v>438059</v>
      </c>
      <c r="AX27" s="124">
        <v>438059</v>
      </c>
      <c r="AY27" s="124"/>
      <c r="AZ27" s="124"/>
      <c r="BA27" s="124"/>
      <c r="BB27" s="124"/>
      <c r="BD27">
        <v>3</v>
      </c>
      <c r="BE27">
        <v>0.75</v>
      </c>
      <c r="BH27">
        <v>0</v>
      </c>
      <c r="BI27">
        <v>0</v>
      </c>
      <c r="BJ27">
        <v>0</v>
      </c>
      <c r="BK27">
        <v>0</v>
      </c>
      <c r="BL27" t="s">
        <v>2102</v>
      </c>
    </row>
    <row r="28" spans="1:64">
      <c r="A28" s="30">
        <v>42934.517997685187</v>
      </c>
      <c r="B28" s="30">
        <v>42809.505555555559</v>
      </c>
      <c r="C28" t="s">
        <v>1965</v>
      </c>
      <c r="D28" t="s">
        <v>741</v>
      </c>
      <c r="E28" t="s">
        <v>901</v>
      </c>
      <c r="F28" t="s">
        <v>1974</v>
      </c>
      <c r="G28" t="s">
        <v>170</v>
      </c>
      <c r="H28" s="21" t="s">
        <v>94</v>
      </c>
      <c r="I28" s="86">
        <v>1</v>
      </c>
      <c r="J28" s="86">
        <v>0</v>
      </c>
      <c r="K28" t="s">
        <v>1967</v>
      </c>
      <c r="L28" t="s">
        <v>543</v>
      </c>
      <c r="M28" t="s">
        <v>257</v>
      </c>
      <c r="N28" t="str">
        <f>IF(SUM(ckCodingTable[[#This Row],[NfmlPIs]:[NnonWhtAsnPIs]])&gt;0,"WMD","")</f>
        <v>WMD</v>
      </c>
      <c r="O28" t="b">
        <f>_xlfn.XOR(IFERROR(MATCH(ckCodingTable[[#This Row],[st_code]],EpscorTable[],0)&gt;0,FALSE),IFERROR(FIND("9150",ckCodingTable[[#This Row],[propPRCs]])&gt;0,FALSE))</f>
        <v>0</v>
      </c>
      <c r="P28" s="21" t="b">
        <f>_xlfn.XOR(ckCodingTable[[#This Row],[wmd]]&lt;&gt;"",IFERROR(FIND("9102",ckCodingTable[[#This Row],[propPRCs]])&gt;0,FALSE))</f>
        <v>1</v>
      </c>
      <c r="Q28" t="s">
        <v>1968</v>
      </c>
      <c r="R28" s="22">
        <v>42933.641435185185</v>
      </c>
      <c r="S28" s="108">
        <f>S27+(ckCodingTable[[#This Row],[ILN]]&lt;"M")</f>
        <v>15</v>
      </c>
      <c r="T28" s="21" t="s">
        <v>96</v>
      </c>
      <c r="U28" t="s">
        <v>1119</v>
      </c>
      <c r="V28" s="7" t="str">
        <f>HYPERLINK("https://www.ejacket.nsf.gov/ej/showProposal.do?ID="&amp;ckCodingTable[[#This Row],[prop_id]],"eJ")</f>
        <v>eJ</v>
      </c>
      <c r="W28" t="s">
        <v>742</v>
      </c>
      <c r="X28" t="s">
        <v>1119</v>
      </c>
      <c r="Y28" t="s">
        <v>1120</v>
      </c>
      <c r="Z28" t="s">
        <v>2103</v>
      </c>
      <c r="AA28" t="s">
        <v>775</v>
      </c>
      <c r="AB28" s="113" t="str">
        <f>HYPERLINK("mailto:"&amp;ckCodingTable[[#This Row],[email]]&amp;"&amp;subject=Your NSF Proposal:  "&amp;ckCodingTable[[#This Row],[Div]]&amp;" "&amp;ckCodingTable[[#This Row],[prop_id]], ckCodingTable[[#This Row],[email]])</f>
        <v>indyk@mit.edu</v>
      </c>
      <c r="AC28" s="30">
        <v>43009</v>
      </c>
      <c r="AD28">
        <v>36</v>
      </c>
      <c r="AE28">
        <v>1</v>
      </c>
      <c r="AG28" s="122"/>
      <c r="AH28" t="s">
        <v>2104</v>
      </c>
      <c r="AI28" s="26">
        <v>7</v>
      </c>
      <c r="AJ28" s="22">
        <v>42872.510416666664</v>
      </c>
      <c r="AK28" s="22">
        <v>2</v>
      </c>
      <c r="AL28">
        <v>3</v>
      </c>
      <c r="AN28" s="122"/>
      <c r="AO28" s="122"/>
      <c r="AP28" s="122"/>
      <c r="AQ28" s="122"/>
      <c r="AR28" s="123" t="str">
        <f>HYPERLINK("https://www.ejacket.nsf.gov/ej/showProposal.do?ID="&amp;ckCodingTable[[#This Row],[prop_id]],"eJ")</f>
        <v>eJ</v>
      </c>
      <c r="AS28" t="s">
        <v>1977</v>
      </c>
      <c r="AT28" t="s">
        <v>2105</v>
      </c>
      <c r="AU28" t="b">
        <f>IF(ckCodingTable[[#This Row],[ILN]]="N",SUBSTITUTE(AT27," ","")&lt;&gt;SUBSTITUTE(ckCodingTable[[#This Row],[prop_titl_txt]]," ",""), FALSE)</f>
        <v>0</v>
      </c>
      <c r="AV28">
        <v>1</v>
      </c>
      <c r="AW28" s="124">
        <v>1500000</v>
      </c>
      <c r="AX28" s="124">
        <v>1368500</v>
      </c>
      <c r="AY28" s="124"/>
      <c r="AZ28" s="124"/>
      <c r="BA28" s="124">
        <v>248951</v>
      </c>
      <c r="BB28" s="124"/>
      <c r="BD28">
        <v>15</v>
      </c>
      <c r="BE28">
        <v>12</v>
      </c>
      <c r="BH28">
        <v>2</v>
      </c>
      <c r="BI28">
        <v>0</v>
      </c>
      <c r="BJ28">
        <v>0</v>
      </c>
      <c r="BK28">
        <v>0</v>
      </c>
      <c r="BL28" t="s">
        <v>2106</v>
      </c>
    </row>
    <row r="29" spans="1:64">
      <c r="A29" s="30">
        <v>42955.695937500001</v>
      </c>
      <c r="B29" s="30">
        <v>42809.513194444444</v>
      </c>
      <c r="C29" t="s">
        <v>1965</v>
      </c>
      <c r="D29" t="s">
        <v>741</v>
      </c>
      <c r="E29" t="s">
        <v>901</v>
      </c>
      <c r="F29" t="s">
        <v>1966</v>
      </c>
      <c r="G29" t="s">
        <v>170</v>
      </c>
      <c r="H29" s="21" t="s">
        <v>94</v>
      </c>
      <c r="I29" s="86">
        <v>1</v>
      </c>
      <c r="J29" s="86">
        <v>0</v>
      </c>
      <c r="K29" t="s">
        <v>1967</v>
      </c>
      <c r="L29" t="s">
        <v>540</v>
      </c>
      <c r="M29" t="s">
        <v>2107</v>
      </c>
      <c r="N29" t="str">
        <f>IF(SUM(ckCodingTable[[#This Row],[NfmlPIs]:[NnonWhtAsnPIs]])&gt;0,"WMD","")</f>
        <v/>
      </c>
      <c r="O29" t="b">
        <f>_xlfn.XOR(IFERROR(MATCH(ckCodingTable[[#This Row],[st_code]],EpscorTable[],0)&gt;0,FALSE),IFERROR(FIND("9150",ckCodingTable[[#This Row],[propPRCs]])&gt;0,FALSE))</f>
        <v>0</v>
      </c>
      <c r="P29" s="21" t="b">
        <f>_xlfn.XOR(ckCodingTable[[#This Row],[wmd]]&lt;&gt;"",IFERROR(FIND("9102",ckCodingTable[[#This Row],[propPRCs]])&gt;0,FALSE))</f>
        <v>0</v>
      </c>
      <c r="Q29" t="s">
        <v>1968</v>
      </c>
      <c r="R29" s="22">
        <v>42914.640543981484</v>
      </c>
      <c r="S29" s="108">
        <f>S28+(ckCodingTable[[#This Row],[ILN]]&lt;"M")</f>
        <v>16</v>
      </c>
      <c r="T29" s="21" t="s">
        <v>96</v>
      </c>
      <c r="U29" t="s">
        <v>1133</v>
      </c>
      <c r="V29" s="7" t="str">
        <f>HYPERLINK("https://www.ejacket.nsf.gov/ej/showProposal.do?ID="&amp;ckCodingTable[[#This Row],[prop_id]],"eJ")</f>
        <v>eJ</v>
      </c>
      <c r="W29" t="s">
        <v>742</v>
      </c>
      <c r="X29" t="s">
        <v>1133</v>
      </c>
      <c r="Y29" t="s">
        <v>1134</v>
      </c>
      <c r="Z29" t="s">
        <v>2108</v>
      </c>
      <c r="AA29" t="s">
        <v>2109</v>
      </c>
      <c r="AB29" s="113" t="str">
        <f>HYPERLINK("mailto:"&amp;ckCodingTable[[#This Row],[email]]&amp;"&amp;subject=Your NSF Proposal:  "&amp;ckCodingTable[[#This Row],[Div]]&amp;" "&amp;ckCodingTable[[#This Row],[prop_id]], ckCodingTable[[#This Row],[email]])</f>
        <v>brian@cse.lehigh.edu</v>
      </c>
      <c r="AC29" s="30">
        <v>43009</v>
      </c>
      <c r="AD29">
        <v>36</v>
      </c>
      <c r="AE29">
        <v>1</v>
      </c>
      <c r="AF29">
        <v>1</v>
      </c>
      <c r="AG29" s="122"/>
      <c r="AH29" t="s">
        <v>2110</v>
      </c>
      <c r="AI29" s="26">
        <v>3.6666666666666665</v>
      </c>
      <c r="AJ29" s="22">
        <v>42870.936111111114</v>
      </c>
      <c r="AL29">
        <v>3</v>
      </c>
      <c r="AN29" s="122"/>
      <c r="AO29" s="122"/>
      <c r="AP29" s="122"/>
      <c r="AQ29" s="122"/>
      <c r="AR29" s="123" t="str">
        <f>HYPERLINK("https://www.ejacket.nsf.gov/ej/showProposal.do?ID="&amp;ckCodingTable[[#This Row],[prop_id]],"eJ")</f>
        <v>eJ</v>
      </c>
      <c r="AS29" t="s">
        <v>1971</v>
      </c>
      <c r="AT29" t="s">
        <v>2111</v>
      </c>
      <c r="AU29" t="b">
        <f>IF(ckCodingTable[[#This Row],[ILN]]="N",SUBSTITUTE(AT28," ","")&lt;&gt;SUBSTITUTE(ckCodingTable[[#This Row],[prop_titl_txt]]," ",""), FALSE)</f>
        <v>0</v>
      </c>
      <c r="AV29">
        <v>0</v>
      </c>
      <c r="AW29" s="124">
        <v>1499915</v>
      </c>
      <c r="AX29" s="124">
        <v>1499915</v>
      </c>
      <c r="AY29" s="124"/>
      <c r="AZ29" s="124">
        <v>29000</v>
      </c>
      <c r="BA29" s="124">
        <v>170000</v>
      </c>
      <c r="BB29" s="124">
        <v>8000</v>
      </c>
      <c r="BC29">
        <v>18</v>
      </c>
      <c r="BD29">
        <v>36</v>
      </c>
      <c r="BE29">
        <v>12</v>
      </c>
      <c r="BH29">
        <v>0</v>
      </c>
      <c r="BI29">
        <v>0</v>
      </c>
      <c r="BJ29">
        <v>0</v>
      </c>
      <c r="BK29">
        <v>0</v>
      </c>
      <c r="BL29" t="s">
        <v>2112</v>
      </c>
    </row>
    <row r="30" spans="1:64">
      <c r="A30" s="30">
        <v>42957.72111111111</v>
      </c>
      <c r="B30" s="30">
        <v>42809.545138888891</v>
      </c>
      <c r="C30" t="s">
        <v>1965</v>
      </c>
      <c r="D30" t="s">
        <v>741</v>
      </c>
      <c r="E30" t="s">
        <v>901</v>
      </c>
      <c r="F30" t="s">
        <v>1966</v>
      </c>
      <c r="G30" t="s">
        <v>170</v>
      </c>
      <c r="H30" s="21" t="s">
        <v>94</v>
      </c>
      <c r="I30" s="86">
        <v>1</v>
      </c>
      <c r="J30" s="86">
        <v>0</v>
      </c>
      <c r="K30" t="s">
        <v>1967</v>
      </c>
      <c r="L30" t="s">
        <v>948</v>
      </c>
      <c r="M30" t="s">
        <v>343</v>
      </c>
      <c r="N30" t="str">
        <f>IF(SUM(ckCodingTable[[#This Row],[NfmlPIs]:[NnonWhtAsnPIs]])&gt;0,"WMD","")</f>
        <v>WMD</v>
      </c>
      <c r="O30" t="b">
        <f>_xlfn.XOR(IFERROR(MATCH(ckCodingTable[[#This Row],[st_code]],EpscorTable[],0)&gt;0,FALSE),IFERROR(FIND("9150",ckCodingTable[[#This Row],[propPRCs]])&gt;0,FALSE))</f>
        <v>0</v>
      </c>
      <c r="P30" s="21" t="b">
        <f>_xlfn.XOR(ckCodingTable[[#This Row],[wmd]]&lt;&gt;"",IFERROR(FIND("9102",ckCodingTable[[#This Row],[propPRCs]])&gt;0,FALSE))</f>
        <v>0</v>
      </c>
      <c r="Q30" t="s">
        <v>2007</v>
      </c>
      <c r="R30" s="22">
        <v>42957.368842592594</v>
      </c>
      <c r="S30" s="108">
        <f>S29+(ckCodingTable[[#This Row],[ILN]]&lt;"M")</f>
        <v>17</v>
      </c>
      <c r="T30" s="21" t="s">
        <v>1981</v>
      </c>
      <c r="U30" t="s">
        <v>1140</v>
      </c>
      <c r="V30" s="7" t="str">
        <f>HYPERLINK("https://www.ejacket.nsf.gov/ej/showProposal.do?ID="&amp;ckCodingTable[[#This Row],[prop_id]],"eJ")</f>
        <v>eJ</v>
      </c>
      <c r="W30" t="s">
        <v>742</v>
      </c>
      <c r="X30" t="s">
        <v>1140</v>
      </c>
      <c r="Y30" t="s">
        <v>1141</v>
      </c>
      <c r="Z30" t="s">
        <v>2113</v>
      </c>
      <c r="AA30" t="s">
        <v>342</v>
      </c>
      <c r="AB30" s="113" t="str">
        <f>HYPERLINK("mailto:"&amp;ckCodingTable[[#This Row],[email]]&amp;"&amp;subject=Your NSF Proposal:  "&amp;ckCodingTable[[#This Row],[Div]]&amp;" "&amp;ckCodingTable[[#This Row],[prop_id]], ckCodingTable[[#This Row],[email]])</f>
        <v>annacg@umich.edu</v>
      </c>
      <c r="AC30" s="30">
        <v>42979</v>
      </c>
      <c r="AD30">
        <v>36</v>
      </c>
      <c r="AE30">
        <v>1</v>
      </c>
      <c r="AG30" s="122"/>
      <c r="AH30" t="s">
        <v>2114</v>
      </c>
      <c r="AI30" s="26">
        <v>6.666666666666667</v>
      </c>
      <c r="AJ30" s="22">
        <v>42884.165277777778</v>
      </c>
      <c r="AL30">
        <v>3</v>
      </c>
      <c r="AN30" s="122"/>
      <c r="AO30" s="122"/>
      <c r="AP30" s="122"/>
      <c r="AQ30" s="122"/>
      <c r="AR30" s="123" t="str">
        <f>HYPERLINK("https://www.ejacket.nsf.gov/ej/showProposal.do?ID="&amp;ckCodingTable[[#This Row],[prop_id]],"eJ")</f>
        <v>eJ</v>
      </c>
      <c r="AS30" t="s">
        <v>1971</v>
      </c>
      <c r="AT30" t="s">
        <v>2115</v>
      </c>
      <c r="AU30" t="b">
        <f>IF(ckCodingTable[[#This Row],[ILN]]="N",SUBSTITUTE(AT29," ","")&lt;&gt;SUBSTITUTE(ckCodingTable[[#This Row],[prop_titl_txt]]," ",""), FALSE)</f>
        <v>0</v>
      </c>
      <c r="AV30">
        <v>0</v>
      </c>
      <c r="AW30" s="124">
        <v>1063465</v>
      </c>
      <c r="AX30" s="124">
        <v>1063465</v>
      </c>
      <c r="AY30" s="124"/>
      <c r="AZ30" s="124">
        <v>12000</v>
      </c>
      <c r="BA30" s="124"/>
      <c r="BB30" s="124">
        <v>36000</v>
      </c>
      <c r="BC30">
        <v>6</v>
      </c>
      <c r="BD30">
        <v>6</v>
      </c>
      <c r="BE30">
        <v>1.35</v>
      </c>
      <c r="BH30">
        <v>2</v>
      </c>
      <c r="BI30">
        <v>0</v>
      </c>
      <c r="BJ30">
        <v>0</v>
      </c>
      <c r="BK30">
        <v>0</v>
      </c>
      <c r="BL30" t="s">
        <v>2116</v>
      </c>
    </row>
    <row r="31" spans="1:64">
      <c r="A31" s="30">
        <v>42957.72111111111</v>
      </c>
      <c r="B31" s="30">
        <v>42809.488194444442</v>
      </c>
      <c r="C31" t="s">
        <v>1965</v>
      </c>
      <c r="D31" t="s">
        <v>741</v>
      </c>
      <c r="E31" t="s">
        <v>901</v>
      </c>
      <c r="F31" t="s">
        <v>1966</v>
      </c>
      <c r="G31" t="s">
        <v>170</v>
      </c>
      <c r="H31" s="21" t="s">
        <v>94</v>
      </c>
      <c r="I31" s="86">
        <v>1</v>
      </c>
      <c r="J31" s="86">
        <v>0</v>
      </c>
      <c r="K31" t="s">
        <v>1967</v>
      </c>
      <c r="L31" t="s">
        <v>948</v>
      </c>
      <c r="M31" t="s">
        <v>343</v>
      </c>
      <c r="N31" t="str">
        <f>IF(SUM(ckCodingTable[[#This Row],[NfmlPIs]:[NnonWhtAsnPIs]])&gt;0,"WMD","")</f>
        <v/>
      </c>
      <c r="O31" t="b">
        <f>_xlfn.XOR(IFERROR(MATCH(ckCodingTable[[#This Row],[st_code]],EpscorTable[],0)&gt;0,FALSE),IFERROR(FIND("9150",ckCodingTable[[#This Row],[propPRCs]])&gt;0,FALSE))</f>
        <v>0</v>
      </c>
      <c r="P31" s="21" t="b">
        <f>_xlfn.XOR(ckCodingTable[[#This Row],[wmd]]&lt;&gt;"",IFERROR(FIND("9102",ckCodingTable[[#This Row],[propPRCs]])&gt;0,FALSE))</f>
        <v>1</v>
      </c>
      <c r="Q31" t="s">
        <v>2007</v>
      </c>
      <c r="R31" s="22">
        <v>42957.368842592594</v>
      </c>
      <c r="S31" s="108">
        <f>S30+(ckCodingTable[[#This Row],[ILN]]&lt;"M")</f>
        <v>17</v>
      </c>
      <c r="T31" s="21" t="s">
        <v>1989</v>
      </c>
      <c r="U31" t="s">
        <v>1140</v>
      </c>
      <c r="V31" s="7" t="str">
        <f>HYPERLINK("https://www.ejacket.nsf.gov/ej/showProposal.do?ID="&amp;ckCodingTable[[#This Row],[prop_id]],"eJ")</f>
        <v>eJ</v>
      </c>
      <c r="W31" t="s">
        <v>742</v>
      </c>
      <c r="X31" t="s">
        <v>2117</v>
      </c>
      <c r="Y31" t="s">
        <v>2118</v>
      </c>
      <c r="Z31" t="s">
        <v>2100</v>
      </c>
      <c r="AA31" t="s">
        <v>2119</v>
      </c>
      <c r="AB31" s="113" t="str">
        <f>HYPERLINK("mailto:"&amp;ckCodingTable[[#This Row],[email]]&amp;"&amp;subject=Your NSF Proposal:  "&amp;ckCodingTable[[#This Row],[Div]]&amp;" "&amp;ckCodingTable[[#This Row],[prop_id]], ckCodingTable[[#This Row],[email]])</f>
        <v>christlieb@math.msu.edu</v>
      </c>
      <c r="AC31" s="30">
        <v>42979</v>
      </c>
      <c r="AD31">
        <v>36</v>
      </c>
      <c r="AG31" s="122"/>
      <c r="AI31" s="26"/>
      <c r="AJ31" s="22"/>
      <c r="AN31" s="122"/>
      <c r="AO31" s="122"/>
      <c r="AP31" s="122"/>
      <c r="AQ31" s="122"/>
      <c r="AR31" s="123" t="str">
        <f>HYPERLINK("https://www.ejacket.nsf.gov/ej/showProposal.do?ID="&amp;ckCodingTable[[#This Row],[prop_id]],"eJ")</f>
        <v>eJ</v>
      </c>
      <c r="AS31" t="s">
        <v>1971</v>
      </c>
      <c r="AT31" t="s">
        <v>2120</v>
      </c>
      <c r="AU31" t="b">
        <f>IF(ckCodingTable[[#This Row],[ILN]]="N",SUBSTITUTE(AT30," ","")&lt;&gt;SUBSTITUTE(ckCodingTable[[#This Row],[prop_titl_txt]]," ",""), FALSE)</f>
        <v>0</v>
      </c>
      <c r="AV31">
        <v>0</v>
      </c>
      <c r="AW31" s="124">
        <v>436535</v>
      </c>
      <c r="AX31" s="124">
        <v>436535</v>
      </c>
      <c r="AY31" s="124"/>
      <c r="AZ31" s="124"/>
      <c r="BA31" s="124"/>
      <c r="BB31" s="124"/>
      <c r="BC31">
        <v>6</v>
      </c>
      <c r="BD31">
        <v>12</v>
      </c>
      <c r="BE31">
        <v>1.62</v>
      </c>
      <c r="BG31">
        <v>0.39</v>
      </c>
      <c r="BH31">
        <v>0</v>
      </c>
      <c r="BI31">
        <v>0</v>
      </c>
      <c r="BJ31">
        <v>0</v>
      </c>
      <c r="BK31">
        <v>1</v>
      </c>
      <c r="BL31" t="s">
        <v>2121</v>
      </c>
    </row>
    <row r="32" spans="1:64">
      <c r="A32" s="30">
        <v>42934.550185185188</v>
      </c>
      <c r="B32" s="30">
        <v>42809.54583333333</v>
      </c>
      <c r="C32" t="s">
        <v>1965</v>
      </c>
      <c r="D32" t="s">
        <v>741</v>
      </c>
      <c r="E32" t="s">
        <v>901</v>
      </c>
      <c r="F32" t="s">
        <v>1974</v>
      </c>
      <c r="G32" t="s">
        <v>170</v>
      </c>
      <c r="H32" s="21" t="s">
        <v>94</v>
      </c>
      <c r="I32" s="86">
        <v>1</v>
      </c>
      <c r="J32" s="86">
        <v>0</v>
      </c>
      <c r="K32" t="s">
        <v>1967</v>
      </c>
      <c r="L32" t="s">
        <v>543</v>
      </c>
      <c r="M32" t="s">
        <v>2122</v>
      </c>
      <c r="N32" t="str">
        <f>IF(SUM(ckCodingTable[[#This Row],[NfmlPIs]:[NnonWhtAsnPIs]])&gt;0,"WMD","")</f>
        <v>WMD</v>
      </c>
      <c r="O32" t="b">
        <f>_xlfn.XOR(IFERROR(MATCH(ckCodingTable[[#This Row],[st_code]],EpscorTable[],0)&gt;0,FALSE),IFERROR(FIND("9150",ckCodingTable[[#This Row],[propPRCs]])&gt;0,FALSE))</f>
        <v>0</v>
      </c>
      <c r="P32" s="21" t="b">
        <f>_xlfn.XOR(ckCodingTable[[#This Row],[wmd]]&lt;&gt;"",IFERROR(FIND("9102",ckCodingTable[[#This Row],[propPRCs]])&gt;0,FALSE))</f>
        <v>1</v>
      </c>
      <c r="Q32" t="s">
        <v>1968</v>
      </c>
      <c r="R32" s="22">
        <v>42930.434641203705</v>
      </c>
      <c r="S32" s="108">
        <f>S31+(ckCodingTable[[#This Row],[ILN]]&lt;"M")</f>
        <v>18</v>
      </c>
      <c r="T32" s="21" t="s">
        <v>96</v>
      </c>
      <c r="U32" t="s">
        <v>1148</v>
      </c>
      <c r="V32" s="7" t="str">
        <f>HYPERLINK("https://www.ejacket.nsf.gov/ej/showProposal.do?ID="&amp;ckCodingTable[[#This Row],[prop_id]],"eJ")</f>
        <v>eJ</v>
      </c>
      <c r="W32" t="s">
        <v>742</v>
      </c>
      <c r="X32" t="s">
        <v>1148</v>
      </c>
      <c r="Y32" t="s">
        <v>980</v>
      </c>
      <c r="Z32" t="s">
        <v>2123</v>
      </c>
      <c r="AA32" t="s">
        <v>2124</v>
      </c>
      <c r="AB32" s="113" t="str">
        <f>HYPERLINK("mailto:"&amp;ckCodingTable[[#This Row],[email]]&amp;"&amp;subject=Your NSF Proposal:  "&amp;ckCodingTable[[#This Row],[Div]]&amp;" "&amp;ckCodingTable[[#This Row],[prop_id]], ckCodingTable[[#This Row],[email]])</f>
        <v>tamaldey@cse.ohio-state.edu</v>
      </c>
      <c r="AC32" s="30">
        <v>43009</v>
      </c>
      <c r="AD32">
        <v>36</v>
      </c>
      <c r="AE32">
        <v>1</v>
      </c>
      <c r="AG32" s="122"/>
      <c r="AH32" t="s">
        <v>1976</v>
      </c>
      <c r="AI32" s="26">
        <v>7.333333333333333</v>
      </c>
      <c r="AJ32" s="22">
        <v>42877.461805555555</v>
      </c>
      <c r="AK32" s="22">
        <v>1</v>
      </c>
      <c r="AL32">
        <v>3</v>
      </c>
      <c r="AN32" s="122"/>
      <c r="AO32" s="122"/>
      <c r="AP32" s="122"/>
      <c r="AQ32" s="122"/>
      <c r="AR32" s="123" t="str">
        <f>HYPERLINK("https://www.ejacket.nsf.gov/ej/showProposal.do?ID="&amp;ckCodingTable[[#This Row],[prop_id]],"eJ")</f>
        <v>eJ</v>
      </c>
      <c r="AS32" t="s">
        <v>1977</v>
      </c>
      <c r="AT32" t="s">
        <v>2125</v>
      </c>
      <c r="AU32" t="b">
        <f>IF(ckCodingTable[[#This Row],[ILN]]="N",SUBSTITUTE(AT31," ","")&lt;&gt;SUBSTITUTE(ckCodingTable[[#This Row],[prop_titl_txt]]," ",""), FALSE)</f>
        <v>0</v>
      </c>
      <c r="AV32">
        <v>0</v>
      </c>
      <c r="AW32" s="124">
        <v>1500000</v>
      </c>
      <c r="AX32" s="124">
        <v>1500000</v>
      </c>
      <c r="AY32" s="124"/>
      <c r="AZ32" s="124">
        <v>5400</v>
      </c>
      <c r="BA32" s="124">
        <v>181083</v>
      </c>
      <c r="BB32" s="124">
        <v>86099</v>
      </c>
      <c r="BC32">
        <v>12</v>
      </c>
      <c r="BD32">
        <v>17</v>
      </c>
      <c r="BE32">
        <v>16.3</v>
      </c>
      <c r="BH32">
        <v>2</v>
      </c>
      <c r="BI32">
        <v>1</v>
      </c>
      <c r="BJ32">
        <v>0</v>
      </c>
      <c r="BK32">
        <v>0</v>
      </c>
      <c r="BL32" t="s">
        <v>981</v>
      </c>
    </row>
    <row r="33" spans="1:64">
      <c r="A33" s="30">
        <v>42954.665173611109</v>
      </c>
      <c r="B33" s="30">
        <v>42809.573611111111</v>
      </c>
      <c r="C33" t="s">
        <v>1965</v>
      </c>
      <c r="D33" t="s">
        <v>741</v>
      </c>
      <c r="E33" t="s">
        <v>901</v>
      </c>
      <c r="F33" t="s">
        <v>1966</v>
      </c>
      <c r="G33" t="s">
        <v>170</v>
      </c>
      <c r="H33" s="21" t="s">
        <v>94</v>
      </c>
      <c r="I33" s="86">
        <v>1</v>
      </c>
      <c r="J33" s="86">
        <v>0</v>
      </c>
      <c r="K33" t="s">
        <v>1967</v>
      </c>
      <c r="L33" t="s">
        <v>543</v>
      </c>
      <c r="M33" t="s">
        <v>2107</v>
      </c>
      <c r="N33" t="str">
        <f>IF(SUM(ckCodingTable[[#This Row],[NfmlPIs]:[NnonWhtAsnPIs]])&gt;0,"WMD","")</f>
        <v>WMD</v>
      </c>
      <c r="O33" t="b">
        <f>_xlfn.XOR(IFERROR(MATCH(ckCodingTable[[#This Row],[st_code]],EpscorTable[],0)&gt;0,FALSE),IFERROR(FIND("9150",ckCodingTable[[#This Row],[propPRCs]])&gt;0,FALSE))</f>
        <v>0</v>
      </c>
      <c r="P33" s="21" t="b">
        <f>_xlfn.XOR(ckCodingTable[[#This Row],[wmd]]&lt;&gt;"",IFERROR(FIND("9102",ckCodingTable[[#This Row],[propPRCs]])&gt;0,FALSE))</f>
        <v>1</v>
      </c>
      <c r="Q33" t="s">
        <v>1968</v>
      </c>
      <c r="R33" s="22">
        <v>42951.496446759258</v>
      </c>
      <c r="S33" s="108">
        <f>S32+(ckCodingTable[[#This Row],[ILN]]&lt;"M")</f>
        <v>19</v>
      </c>
      <c r="T33" s="21" t="s">
        <v>96</v>
      </c>
      <c r="U33" t="s">
        <v>1159</v>
      </c>
      <c r="V33" s="7" t="str">
        <f>HYPERLINK("https://www.ejacket.nsf.gov/ej/showProposal.do?ID="&amp;ckCodingTable[[#This Row],[prop_id]],"eJ")</f>
        <v>eJ</v>
      </c>
      <c r="W33" t="s">
        <v>742</v>
      </c>
      <c r="X33" t="s">
        <v>1159</v>
      </c>
      <c r="Y33" t="s">
        <v>1160</v>
      </c>
      <c r="Z33" t="s">
        <v>2126</v>
      </c>
      <c r="AA33" t="s">
        <v>2127</v>
      </c>
      <c r="AB33" s="113" t="str">
        <f>HYPERLINK("mailto:"&amp;ckCodingTable[[#This Row],[email]]&amp;"&amp;subject=Your NSF Proposal:  "&amp;ckCodingTable[[#This Row],[Div]]&amp;" "&amp;ckCodingTable[[#This Row],[prop_id]], ckCodingTable[[#This Row],[email]])</f>
        <v>larry@stat.cmu.edu</v>
      </c>
      <c r="AC33" s="30">
        <v>43282</v>
      </c>
      <c r="AD33">
        <v>36</v>
      </c>
      <c r="AE33">
        <v>1</v>
      </c>
      <c r="AG33" s="122"/>
      <c r="AH33" t="s">
        <v>2128</v>
      </c>
      <c r="AI33" s="26">
        <v>5.333333333333333</v>
      </c>
      <c r="AJ33" s="22">
        <v>42872.477777777778</v>
      </c>
      <c r="AK33" s="22">
        <v>1</v>
      </c>
      <c r="AL33">
        <v>3</v>
      </c>
      <c r="AN33" s="122"/>
      <c r="AO33" s="122"/>
      <c r="AP33" s="122"/>
      <c r="AQ33" s="122"/>
      <c r="AR33" s="123" t="str">
        <f>HYPERLINK("https://www.ejacket.nsf.gov/ej/showProposal.do?ID="&amp;ckCodingTable[[#This Row],[prop_id]],"eJ")</f>
        <v>eJ</v>
      </c>
      <c r="AS33" t="s">
        <v>1971</v>
      </c>
      <c r="AT33" t="s">
        <v>2129</v>
      </c>
      <c r="AU33" t="b">
        <f>IF(ckCodingTable[[#This Row],[ILN]]="N",SUBSTITUTE(AT32," ","")&lt;&gt;SUBSTITUTE(ckCodingTable[[#This Row],[prop_titl_txt]]," ",""), FALSE)</f>
        <v>0</v>
      </c>
      <c r="AV33">
        <v>0</v>
      </c>
      <c r="AW33" s="124">
        <v>1500000</v>
      </c>
      <c r="AX33" s="124">
        <v>1500000</v>
      </c>
      <c r="AY33" s="124"/>
      <c r="AZ33" s="124"/>
      <c r="BA33" s="124"/>
      <c r="BB33" s="124">
        <v>66540</v>
      </c>
      <c r="BC33">
        <v>18</v>
      </c>
      <c r="BD33">
        <v>15</v>
      </c>
      <c r="BE33">
        <v>3</v>
      </c>
      <c r="BG33">
        <v>6</v>
      </c>
      <c r="BH33">
        <v>2</v>
      </c>
      <c r="BI33">
        <v>0</v>
      </c>
      <c r="BJ33">
        <v>0</v>
      </c>
      <c r="BK33">
        <v>0</v>
      </c>
      <c r="BL33" t="s">
        <v>2130</v>
      </c>
    </row>
    <row r="34" spans="1:64">
      <c r="A34" s="30">
        <v>42930.452893518515</v>
      </c>
      <c r="B34" s="30">
        <v>42809.593055555553</v>
      </c>
      <c r="C34" t="s">
        <v>1965</v>
      </c>
      <c r="D34" t="s">
        <v>741</v>
      </c>
      <c r="E34" t="s">
        <v>901</v>
      </c>
      <c r="F34" t="s">
        <v>1974</v>
      </c>
      <c r="G34" t="s">
        <v>170</v>
      </c>
      <c r="H34" s="21" t="s">
        <v>94</v>
      </c>
      <c r="I34" s="86">
        <v>1</v>
      </c>
      <c r="J34" s="86">
        <v>0</v>
      </c>
      <c r="K34" t="s">
        <v>1967</v>
      </c>
      <c r="L34" t="s">
        <v>942</v>
      </c>
      <c r="M34" t="s">
        <v>2131</v>
      </c>
      <c r="N34" t="str">
        <f>IF(SUM(ckCodingTable[[#This Row],[NfmlPIs]:[NnonWhtAsnPIs]])&gt;0,"WMD","")</f>
        <v>WMD</v>
      </c>
      <c r="O34" t="b">
        <f>_xlfn.XOR(IFERROR(MATCH(ckCodingTable[[#This Row],[st_code]],EpscorTable[],0)&gt;0,FALSE),IFERROR(FIND("9150",ckCodingTable[[#This Row],[propPRCs]])&gt;0,FALSE))</f>
        <v>0</v>
      </c>
      <c r="P34" s="21" t="b">
        <f>_xlfn.XOR(ckCodingTable[[#This Row],[wmd]]&lt;&gt;"",IFERROR(FIND("9102",ckCodingTable[[#This Row],[propPRCs]])&gt;0,FALSE))</f>
        <v>1</v>
      </c>
      <c r="Q34" t="s">
        <v>1968</v>
      </c>
      <c r="R34" s="22">
        <v>42926.717858796299</v>
      </c>
      <c r="S34" s="108">
        <f>S33+(ckCodingTable[[#This Row],[ILN]]&lt;"M")</f>
        <v>20</v>
      </c>
      <c r="T34" s="21" t="s">
        <v>96</v>
      </c>
      <c r="U34" t="s">
        <v>1165</v>
      </c>
      <c r="V34" s="7" t="str">
        <f>HYPERLINK("https://www.ejacket.nsf.gov/ej/showProposal.do?ID="&amp;ckCodingTable[[#This Row],[prop_id]],"eJ")</f>
        <v>eJ</v>
      </c>
      <c r="W34" t="s">
        <v>742</v>
      </c>
      <c r="X34" t="s">
        <v>1165</v>
      </c>
      <c r="Y34" t="s">
        <v>1166</v>
      </c>
      <c r="Z34" t="s">
        <v>2132</v>
      </c>
      <c r="AA34" t="s">
        <v>2133</v>
      </c>
      <c r="AB34" s="113" t="str">
        <f>HYPERLINK("mailto:"&amp;ckCodingTable[[#This Row],[email]]&amp;"&amp;subject=Your NSF Proposal:  "&amp;ckCodingTable[[#This Row],[Div]]&amp;" "&amp;ckCodingTable[[#This Row],[prop_id]], ckCodingTable[[#This Row],[email]])</f>
        <v>xiaoming@isye.gatech.edu</v>
      </c>
      <c r="AC34" s="30">
        <v>42979</v>
      </c>
      <c r="AD34">
        <v>36</v>
      </c>
      <c r="AE34">
        <v>1</v>
      </c>
      <c r="AG34" s="122"/>
      <c r="AH34" t="s">
        <v>2104</v>
      </c>
      <c r="AI34" s="26">
        <v>7</v>
      </c>
      <c r="AJ34" s="22">
        <v>42871.888888888891</v>
      </c>
      <c r="AK34" s="22">
        <v>1</v>
      </c>
      <c r="AL34">
        <v>3</v>
      </c>
      <c r="AN34" s="122"/>
      <c r="AO34" s="122"/>
      <c r="AP34" s="122"/>
      <c r="AQ34" s="122"/>
      <c r="AR34" s="123" t="str">
        <f>HYPERLINK("https://www.ejacket.nsf.gov/ej/showProposal.do?ID="&amp;ckCodingTable[[#This Row],[prop_id]],"eJ")</f>
        <v>eJ</v>
      </c>
      <c r="AS34" t="s">
        <v>1977</v>
      </c>
      <c r="AT34" t="s">
        <v>2134</v>
      </c>
      <c r="AU34" t="b">
        <f>IF(ckCodingTable[[#This Row],[ILN]]="N",SUBSTITUTE(AT33," ","")&lt;&gt;SUBSTITUTE(ckCodingTable[[#This Row],[prop_titl_txt]]," ",""), FALSE)</f>
        <v>0</v>
      </c>
      <c r="AV34">
        <v>0</v>
      </c>
      <c r="AW34" s="124">
        <v>1500000</v>
      </c>
      <c r="AX34" s="124">
        <v>1500000</v>
      </c>
      <c r="AY34" s="124"/>
      <c r="AZ34" s="124">
        <v>22500</v>
      </c>
      <c r="BA34" s="124">
        <v>185454</v>
      </c>
      <c r="BB34" s="124">
        <v>168750</v>
      </c>
      <c r="BC34">
        <v>6</v>
      </c>
      <c r="BD34">
        <v>24</v>
      </c>
      <c r="BG34">
        <v>3.87</v>
      </c>
      <c r="BH34">
        <v>2</v>
      </c>
      <c r="BI34">
        <v>0</v>
      </c>
      <c r="BJ34">
        <v>0</v>
      </c>
      <c r="BK34">
        <v>0</v>
      </c>
      <c r="BL34" t="s">
        <v>2135</v>
      </c>
    </row>
    <row r="35" spans="1:64">
      <c r="A35" s="30">
        <v>42955.726944444446</v>
      </c>
      <c r="B35" s="30">
        <v>42809.597916666666</v>
      </c>
      <c r="C35" t="s">
        <v>1965</v>
      </c>
      <c r="D35" t="s">
        <v>741</v>
      </c>
      <c r="E35" t="s">
        <v>901</v>
      </c>
      <c r="F35" t="s">
        <v>1966</v>
      </c>
      <c r="G35" t="s">
        <v>170</v>
      </c>
      <c r="H35" s="21" t="s">
        <v>94</v>
      </c>
      <c r="I35" s="86">
        <v>1</v>
      </c>
      <c r="J35" s="86">
        <v>0</v>
      </c>
      <c r="K35" t="s">
        <v>1967</v>
      </c>
      <c r="L35" t="s">
        <v>540</v>
      </c>
      <c r="M35" t="s">
        <v>258</v>
      </c>
      <c r="N35" t="str">
        <f>IF(SUM(ckCodingTable[[#This Row],[NfmlPIs]:[NnonWhtAsnPIs]])&gt;0,"WMD","")</f>
        <v>WMD</v>
      </c>
      <c r="O35" t="b">
        <f>_xlfn.XOR(IFERROR(MATCH(ckCodingTable[[#This Row],[st_code]],EpscorTable[],0)&gt;0,FALSE),IFERROR(FIND("9150",ckCodingTable[[#This Row],[propPRCs]])&gt;0,FALSE))</f>
        <v>0</v>
      </c>
      <c r="P35" s="21" t="b">
        <f>_xlfn.XOR(ckCodingTable[[#This Row],[wmd]]&lt;&gt;"",IFERROR(FIND("9102",ckCodingTable[[#This Row],[propPRCs]])&gt;0,FALSE))</f>
        <v>0</v>
      </c>
      <c r="Q35" t="s">
        <v>2007</v>
      </c>
      <c r="R35" s="22">
        <v>42914.640601851854</v>
      </c>
      <c r="S35" s="108">
        <f>S34+(ckCodingTable[[#This Row],[ILN]]&lt;"M")</f>
        <v>21</v>
      </c>
      <c r="T35" s="21" t="s">
        <v>1981</v>
      </c>
      <c r="U35" t="s">
        <v>1175</v>
      </c>
      <c r="V35" s="7" t="str">
        <f>HYPERLINK("https://www.ejacket.nsf.gov/ej/showProposal.do?ID="&amp;ckCodingTable[[#This Row],[prop_id]],"eJ")</f>
        <v>eJ</v>
      </c>
      <c r="W35" t="s">
        <v>742</v>
      </c>
      <c r="X35" t="s">
        <v>1175</v>
      </c>
      <c r="Y35" t="s">
        <v>1176</v>
      </c>
      <c r="Z35" t="s">
        <v>2136</v>
      </c>
      <c r="AA35" t="s">
        <v>2137</v>
      </c>
      <c r="AB35" s="113" t="str">
        <f>HYPERLINK("mailto:"&amp;ckCodingTable[[#This Row],[email]]&amp;"&amp;subject=Your NSF Proposal:  "&amp;ckCodingTable[[#This Row],[Div]]&amp;" "&amp;ckCodingTable[[#This Row],[prop_id]], ckCodingTable[[#This Row],[email]])</f>
        <v>carbonjo@buffalostate.edu</v>
      </c>
      <c r="AC35" s="30">
        <v>42979</v>
      </c>
      <c r="AD35">
        <v>36</v>
      </c>
      <c r="AE35">
        <v>1</v>
      </c>
      <c r="AF35">
        <v>1</v>
      </c>
      <c r="AG35" s="122"/>
      <c r="AH35" t="s">
        <v>2138</v>
      </c>
      <c r="AI35" s="26">
        <v>3.6666666666666665</v>
      </c>
      <c r="AJ35" s="22">
        <v>42871.856249999997</v>
      </c>
      <c r="AK35" s="22">
        <v>1</v>
      </c>
      <c r="AL35">
        <v>3</v>
      </c>
      <c r="AN35" s="122"/>
      <c r="AO35" s="122"/>
      <c r="AP35" s="122"/>
      <c r="AQ35" s="122"/>
      <c r="AR35" s="123" t="str">
        <f>HYPERLINK("https://www.ejacket.nsf.gov/ej/showProposal.do?ID="&amp;ckCodingTable[[#This Row],[prop_id]],"eJ")</f>
        <v>eJ</v>
      </c>
      <c r="AS35" t="s">
        <v>1971</v>
      </c>
      <c r="AT35" t="s">
        <v>2139</v>
      </c>
      <c r="AU35" t="b">
        <f>IF(ckCodingTable[[#This Row],[ILN]]="N",SUBSTITUTE(AT34," ","")&lt;&gt;SUBSTITUTE(ckCodingTable[[#This Row],[prop_titl_txt]]," ",""), FALSE)</f>
        <v>0</v>
      </c>
      <c r="AV35">
        <v>0</v>
      </c>
      <c r="AW35" s="124">
        <v>285964</v>
      </c>
      <c r="AX35" s="124">
        <v>285964</v>
      </c>
      <c r="AY35" s="124"/>
      <c r="AZ35" s="124"/>
      <c r="BA35" s="124"/>
      <c r="BB35" s="124">
        <v>10000</v>
      </c>
      <c r="BC35">
        <v>3</v>
      </c>
      <c r="BD35">
        <v>6</v>
      </c>
      <c r="BE35">
        <v>6</v>
      </c>
      <c r="BH35">
        <v>0</v>
      </c>
      <c r="BI35">
        <v>1</v>
      </c>
      <c r="BJ35">
        <v>0</v>
      </c>
      <c r="BK35">
        <v>0</v>
      </c>
      <c r="BL35" t="s">
        <v>2140</v>
      </c>
    </row>
    <row r="36" spans="1:64">
      <c r="A36" s="30">
        <v>42955.726944444446</v>
      </c>
      <c r="B36" s="30">
        <v>42809.414583333331</v>
      </c>
      <c r="C36" t="s">
        <v>1965</v>
      </c>
      <c r="D36" t="s">
        <v>741</v>
      </c>
      <c r="E36" t="s">
        <v>901</v>
      </c>
      <c r="F36" t="s">
        <v>1966</v>
      </c>
      <c r="G36" t="s">
        <v>170</v>
      </c>
      <c r="H36" s="21" t="s">
        <v>94</v>
      </c>
      <c r="I36" s="86">
        <v>1</v>
      </c>
      <c r="J36" s="86">
        <v>0</v>
      </c>
      <c r="K36" t="s">
        <v>1967</v>
      </c>
      <c r="L36" t="s">
        <v>540</v>
      </c>
      <c r="M36" t="s">
        <v>258</v>
      </c>
      <c r="N36" t="str">
        <f>IF(SUM(ckCodingTable[[#This Row],[NfmlPIs]:[NnonWhtAsnPIs]])&gt;0,"WMD","")</f>
        <v>WMD</v>
      </c>
      <c r="O36" t="b">
        <f>_xlfn.XOR(IFERROR(MATCH(ckCodingTable[[#This Row],[st_code]],EpscorTable[],0)&gt;0,FALSE),IFERROR(FIND("9150",ckCodingTable[[#This Row],[propPRCs]])&gt;0,FALSE))</f>
        <v>0</v>
      </c>
      <c r="P36" s="21" t="b">
        <f>_xlfn.XOR(ckCodingTable[[#This Row],[wmd]]&lt;&gt;"",IFERROR(FIND("9102",ckCodingTable[[#This Row],[propPRCs]])&gt;0,FALSE))</f>
        <v>0</v>
      </c>
      <c r="Q36" t="s">
        <v>2007</v>
      </c>
      <c r="R36" s="22">
        <v>42914.640601851854</v>
      </c>
      <c r="S36" s="108">
        <f>S35+(ckCodingTable[[#This Row],[ILN]]&lt;"M")</f>
        <v>21</v>
      </c>
      <c r="T36" s="21" t="s">
        <v>1989</v>
      </c>
      <c r="U36" t="s">
        <v>1175</v>
      </c>
      <c r="V36" s="7" t="str">
        <f>HYPERLINK("https://www.ejacket.nsf.gov/ej/showProposal.do?ID="&amp;ckCodingTable[[#This Row],[prop_id]],"eJ")</f>
        <v>eJ</v>
      </c>
      <c r="W36" t="s">
        <v>742</v>
      </c>
      <c r="X36" t="s">
        <v>2141</v>
      </c>
      <c r="Y36" t="s">
        <v>2142</v>
      </c>
      <c r="Z36" t="s">
        <v>2143</v>
      </c>
      <c r="AA36" t="s">
        <v>2144</v>
      </c>
      <c r="AB36" s="113" t="str">
        <f>HYPERLINK("mailto:"&amp;ckCodingTable[[#This Row],[email]]&amp;"&amp;subject=Your NSF Proposal:  "&amp;ckCodingTable[[#This Row],[Div]]&amp;" "&amp;ckCodingTable[[#This Row],[prop_id]], ckCodingTable[[#This Row],[email]])</f>
        <v>jsperhac@buffalo.edu</v>
      </c>
      <c r="AC36" s="30">
        <v>42979</v>
      </c>
      <c r="AD36">
        <v>36</v>
      </c>
      <c r="AG36" s="122"/>
      <c r="AI36" s="26"/>
      <c r="AJ36" s="22"/>
      <c r="AN36" s="122"/>
      <c r="AO36" s="122"/>
      <c r="AP36" s="122"/>
      <c r="AQ36" s="122"/>
      <c r="AR36" s="123" t="str">
        <f>HYPERLINK("https://www.ejacket.nsf.gov/ej/showProposal.do?ID="&amp;ckCodingTable[[#This Row],[prop_id]],"eJ")</f>
        <v>eJ</v>
      </c>
      <c r="AS36" t="s">
        <v>1971</v>
      </c>
      <c r="AT36" t="s">
        <v>2139</v>
      </c>
      <c r="AU36" t="b">
        <f>IF(ckCodingTable[[#This Row],[ILN]]="N",SUBSTITUTE(AT35," ","")&lt;&gt;SUBSTITUTE(ckCodingTable[[#This Row],[prop_titl_txt]]," ",""), FALSE)</f>
        <v>0</v>
      </c>
      <c r="AV36">
        <v>0</v>
      </c>
      <c r="AW36" s="124">
        <v>209549</v>
      </c>
      <c r="AX36" s="124">
        <v>209549</v>
      </c>
      <c r="AY36" s="124"/>
      <c r="AZ36" s="124"/>
      <c r="BA36" s="124"/>
      <c r="BB36" s="124"/>
      <c r="BD36">
        <v>3</v>
      </c>
      <c r="BG36">
        <v>11.44</v>
      </c>
      <c r="BH36">
        <v>1</v>
      </c>
      <c r="BI36">
        <v>0</v>
      </c>
      <c r="BJ36">
        <v>0</v>
      </c>
      <c r="BK36">
        <v>0</v>
      </c>
      <c r="BL36" t="s">
        <v>2145</v>
      </c>
    </row>
    <row r="37" spans="1:64">
      <c r="A37" s="30">
        <v>42955.726944444446</v>
      </c>
      <c r="B37" s="30">
        <v>42809.475694444445</v>
      </c>
      <c r="C37" t="s">
        <v>1965</v>
      </c>
      <c r="D37" t="s">
        <v>741</v>
      </c>
      <c r="E37" t="s">
        <v>901</v>
      </c>
      <c r="F37" t="s">
        <v>1966</v>
      </c>
      <c r="G37" t="s">
        <v>170</v>
      </c>
      <c r="H37" s="21" t="s">
        <v>94</v>
      </c>
      <c r="I37" s="86">
        <v>1</v>
      </c>
      <c r="J37" s="86">
        <v>0</v>
      </c>
      <c r="K37" t="s">
        <v>1967</v>
      </c>
      <c r="L37" t="s">
        <v>540</v>
      </c>
      <c r="M37" t="s">
        <v>258</v>
      </c>
      <c r="N37" t="str">
        <f>IF(SUM(ckCodingTable[[#This Row],[NfmlPIs]:[NnonWhtAsnPIs]])&gt;0,"WMD","")</f>
        <v>WMD</v>
      </c>
      <c r="O37" t="b">
        <f>_xlfn.XOR(IFERROR(MATCH(ckCodingTable[[#This Row],[st_code]],EpscorTable[],0)&gt;0,FALSE),IFERROR(FIND("9150",ckCodingTable[[#This Row],[propPRCs]])&gt;0,FALSE))</f>
        <v>0</v>
      </c>
      <c r="P37" s="21" t="b">
        <f>_xlfn.XOR(ckCodingTable[[#This Row],[wmd]]&lt;&gt;"",IFERROR(FIND("9102",ckCodingTable[[#This Row],[propPRCs]])&gt;0,FALSE))</f>
        <v>0</v>
      </c>
      <c r="Q37" t="s">
        <v>2007</v>
      </c>
      <c r="R37" s="22">
        <v>42914.640601851854</v>
      </c>
      <c r="S37" s="108">
        <f>S36+(ckCodingTable[[#This Row],[ILN]]&lt;"M")</f>
        <v>21</v>
      </c>
      <c r="T37" s="21" t="s">
        <v>1989</v>
      </c>
      <c r="U37" t="s">
        <v>1175</v>
      </c>
      <c r="V37" s="7" t="str">
        <f>HYPERLINK("https://www.ejacket.nsf.gov/ej/showProposal.do?ID="&amp;ckCodingTable[[#This Row],[prop_id]],"eJ")</f>
        <v>eJ</v>
      </c>
      <c r="W37" t="s">
        <v>742</v>
      </c>
      <c r="X37" t="s">
        <v>2146</v>
      </c>
      <c r="Y37" t="s">
        <v>2147</v>
      </c>
      <c r="Z37" t="s">
        <v>2148</v>
      </c>
      <c r="AA37" t="s">
        <v>2149</v>
      </c>
      <c r="AB37" s="113" t="str">
        <f>HYPERLINK("mailto:"&amp;ckCodingTable[[#This Row],[email]]&amp;"&amp;subject=Your NSF Proposal:  "&amp;ckCodingTable[[#This Row],[Div]]&amp;" "&amp;ckCodingTable[[#This Row],[prop_id]], ckCodingTable[[#This Row],[email]])</f>
        <v>ibichind@oswego.edu</v>
      </c>
      <c r="AC37" s="30">
        <v>42979</v>
      </c>
      <c r="AD37">
        <v>36</v>
      </c>
      <c r="AG37" s="122"/>
      <c r="AI37" s="26"/>
      <c r="AJ37" s="22"/>
      <c r="AN37" s="122"/>
      <c r="AO37" s="122"/>
      <c r="AP37" s="122"/>
      <c r="AQ37" s="122"/>
      <c r="AR37" s="123" t="str">
        <f>HYPERLINK("https://www.ejacket.nsf.gov/ej/showProposal.do?ID="&amp;ckCodingTable[[#This Row],[prop_id]],"eJ")</f>
        <v>eJ</v>
      </c>
      <c r="AS37" t="s">
        <v>1971</v>
      </c>
      <c r="AT37" t="s">
        <v>2139</v>
      </c>
      <c r="AU37" t="b">
        <f>IF(ckCodingTable[[#This Row],[ILN]]="N",SUBSTITUTE(AT36," ","")&lt;&gt;SUBSTITUTE(ckCodingTable[[#This Row],[prop_titl_txt]]," ",""), FALSE)</f>
        <v>0</v>
      </c>
      <c r="AV37">
        <v>0</v>
      </c>
      <c r="AW37" s="124">
        <v>361729</v>
      </c>
      <c r="AX37" s="124">
        <v>361729</v>
      </c>
      <c r="AY37" s="124"/>
      <c r="AZ37" s="124">
        <v>18000</v>
      </c>
      <c r="BA37" s="124"/>
      <c r="BB37" s="124"/>
      <c r="BC37">
        <v>12</v>
      </c>
      <c r="BD37">
        <v>9</v>
      </c>
      <c r="BE37">
        <v>5.13</v>
      </c>
      <c r="BH37">
        <v>2</v>
      </c>
      <c r="BI37">
        <v>0</v>
      </c>
      <c r="BJ37">
        <v>0</v>
      </c>
      <c r="BK37">
        <v>0</v>
      </c>
      <c r="BL37" t="s">
        <v>2150</v>
      </c>
    </row>
    <row r="38" spans="1:64">
      <c r="A38" s="30">
        <v>42955.726944444446</v>
      </c>
      <c r="B38" s="30">
        <v>42809.482638888891</v>
      </c>
      <c r="C38" t="s">
        <v>1965</v>
      </c>
      <c r="D38" t="s">
        <v>741</v>
      </c>
      <c r="E38" t="s">
        <v>901</v>
      </c>
      <c r="F38" t="s">
        <v>1966</v>
      </c>
      <c r="G38" t="s">
        <v>170</v>
      </c>
      <c r="H38" s="21" t="s">
        <v>94</v>
      </c>
      <c r="I38" s="86">
        <v>1</v>
      </c>
      <c r="J38" s="86">
        <v>0</v>
      </c>
      <c r="K38" t="s">
        <v>1967</v>
      </c>
      <c r="L38" t="s">
        <v>540</v>
      </c>
      <c r="M38" t="s">
        <v>258</v>
      </c>
      <c r="N38" t="str">
        <f>IF(SUM(ckCodingTable[[#This Row],[NfmlPIs]:[NnonWhtAsnPIs]])&gt;0,"WMD","")</f>
        <v/>
      </c>
      <c r="O38" t="b">
        <f>_xlfn.XOR(IFERROR(MATCH(ckCodingTable[[#This Row],[st_code]],EpscorTable[],0)&gt;0,FALSE),IFERROR(FIND("9150",ckCodingTable[[#This Row],[propPRCs]])&gt;0,FALSE))</f>
        <v>0</v>
      </c>
      <c r="P38" s="21" t="b">
        <f>_xlfn.XOR(ckCodingTable[[#This Row],[wmd]]&lt;&gt;"",IFERROR(FIND("9102",ckCodingTable[[#This Row],[propPRCs]])&gt;0,FALSE))</f>
        <v>0</v>
      </c>
      <c r="Q38" t="s">
        <v>1968</v>
      </c>
      <c r="R38" s="22">
        <v>42914.640601851854</v>
      </c>
      <c r="S38" s="108">
        <f>S37+(ckCodingTable[[#This Row],[ILN]]&lt;"M")</f>
        <v>21</v>
      </c>
      <c r="T38" s="21" t="s">
        <v>1989</v>
      </c>
      <c r="U38" t="s">
        <v>1175</v>
      </c>
      <c r="V38" s="7" t="str">
        <f>HYPERLINK("https://www.ejacket.nsf.gov/ej/showProposal.do?ID="&amp;ckCodingTable[[#This Row],[prop_id]],"eJ")</f>
        <v>eJ</v>
      </c>
      <c r="W38" t="s">
        <v>742</v>
      </c>
      <c r="X38" t="s">
        <v>2151</v>
      </c>
      <c r="Y38" t="s">
        <v>2152</v>
      </c>
      <c r="Z38" t="s">
        <v>2153</v>
      </c>
      <c r="AA38" t="s">
        <v>2154</v>
      </c>
      <c r="AB38" s="113" t="str">
        <f>HYPERLINK("mailto:"&amp;ckCodingTable[[#This Row],[email]]&amp;"&amp;subject=Your NSF Proposal:  "&amp;ckCodingTable[[#This Row],[Div]]&amp;" "&amp;ckCodingTable[[#This Row],[prop_id]], ckCodingTable[[#This Row],[email]])</f>
        <v>lisa.walters@fredonia.edu</v>
      </c>
      <c r="AC38" s="30">
        <v>42979</v>
      </c>
      <c r="AD38">
        <v>36</v>
      </c>
      <c r="AG38" s="122"/>
      <c r="AI38" s="26"/>
      <c r="AJ38" s="22"/>
      <c r="AN38" s="122"/>
      <c r="AO38" s="122"/>
      <c r="AP38" s="122"/>
      <c r="AQ38" s="122"/>
      <c r="AR38" s="123" t="str">
        <f>HYPERLINK("https://www.ejacket.nsf.gov/ej/showProposal.do?ID="&amp;ckCodingTable[[#This Row],[prop_id]],"eJ")</f>
        <v>eJ</v>
      </c>
      <c r="AS38" t="s">
        <v>1971</v>
      </c>
      <c r="AT38" t="s">
        <v>2155</v>
      </c>
      <c r="AU38" t="b">
        <f>IF(ckCodingTable[[#This Row],[ILN]]="N",SUBSTITUTE(AT37," ","")&lt;&gt;SUBSTITUTE(ckCodingTable[[#This Row],[prop_titl_txt]]," ",""), FALSE)</f>
        <v>1</v>
      </c>
      <c r="AV38">
        <v>0</v>
      </c>
      <c r="AW38" s="124">
        <v>248472</v>
      </c>
      <c r="AX38" s="124">
        <v>248472</v>
      </c>
      <c r="AY38" s="124"/>
      <c r="AZ38" s="124">
        <v>10500</v>
      </c>
      <c r="BA38" s="124"/>
      <c r="BB38" s="124">
        <v>20000</v>
      </c>
      <c r="BD38">
        <v>6</v>
      </c>
      <c r="BE38">
        <v>6</v>
      </c>
      <c r="BH38">
        <v>0</v>
      </c>
      <c r="BI38">
        <v>0</v>
      </c>
      <c r="BJ38">
        <v>0</v>
      </c>
      <c r="BK38">
        <v>0</v>
      </c>
      <c r="BL38" t="s">
        <v>2156</v>
      </c>
    </row>
    <row r="39" spans="1:64">
      <c r="A39" s="30">
        <v>42955.726944444446</v>
      </c>
      <c r="B39" s="30">
        <v>42809.584722222222</v>
      </c>
      <c r="C39" t="s">
        <v>1965</v>
      </c>
      <c r="D39" t="s">
        <v>741</v>
      </c>
      <c r="E39" t="s">
        <v>901</v>
      </c>
      <c r="F39" t="s">
        <v>1966</v>
      </c>
      <c r="G39" t="s">
        <v>170</v>
      </c>
      <c r="H39" s="21" t="s">
        <v>94</v>
      </c>
      <c r="I39" s="86">
        <v>1</v>
      </c>
      <c r="J39" s="86">
        <v>0</v>
      </c>
      <c r="K39" t="s">
        <v>1967</v>
      </c>
      <c r="L39" t="s">
        <v>540</v>
      </c>
      <c r="M39" t="s">
        <v>258</v>
      </c>
      <c r="N39" t="str">
        <f>IF(SUM(ckCodingTable[[#This Row],[NfmlPIs]:[NnonWhtAsnPIs]])&gt;0,"WMD","")</f>
        <v/>
      </c>
      <c r="O39" t="b">
        <f>_xlfn.XOR(IFERROR(MATCH(ckCodingTable[[#This Row],[st_code]],EpscorTable[],0)&gt;0,FALSE),IFERROR(FIND("9150",ckCodingTable[[#This Row],[propPRCs]])&gt;0,FALSE))</f>
        <v>0</v>
      </c>
      <c r="P39" s="21" t="b">
        <f>_xlfn.XOR(ckCodingTable[[#This Row],[wmd]]&lt;&gt;"",IFERROR(FIND("9102",ckCodingTable[[#This Row],[propPRCs]])&gt;0,FALSE))</f>
        <v>0</v>
      </c>
      <c r="Q39" t="s">
        <v>1968</v>
      </c>
      <c r="R39" s="22">
        <v>42914.640601851854</v>
      </c>
      <c r="S39" s="108">
        <f>S38+(ckCodingTable[[#This Row],[ILN]]&lt;"M")</f>
        <v>21</v>
      </c>
      <c r="T39" s="21" t="s">
        <v>1989</v>
      </c>
      <c r="U39" t="s">
        <v>1175</v>
      </c>
      <c r="V39" s="7" t="str">
        <f>HYPERLINK("https://www.ejacket.nsf.gov/ej/showProposal.do?ID="&amp;ckCodingTable[[#This Row],[prop_id]],"eJ")</f>
        <v>eJ</v>
      </c>
      <c r="W39" t="s">
        <v>742</v>
      </c>
      <c r="X39" t="s">
        <v>2157</v>
      </c>
      <c r="Y39" t="s">
        <v>2158</v>
      </c>
      <c r="Z39" t="s">
        <v>2159</v>
      </c>
      <c r="AA39" t="s">
        <v>2160</v>
      </c>
      <c r="AB39" s="113" t="str">
        <f>HYPERLINK("mailto:"&amp;ckCodingTable[[#This Row],[email]]&amp;"&amp;subject=Your NSF Proposal:  "&amp;ckCodingTable[[#This Row],[Div]]&amp;" "&amp;ckCodingTable[[#This Row],[prop_id]], ckCodingTable[[#This Row],[email]])</f>
        <v>sdang@binghamton.edu</v>
      </c>
      <c r="AC39" s="30">
        <v>42979</v>
      </c>
      <c r="AD39">
        <v>36</v>
      </c>
      <c r="AG39" s="122"/>
      <c r="AI39" s="26"/>
      <c r="AJ39" s="22"/>
      <c r="AN39" s="122"/>
      <c r="AO39" s="122"/>
      <c r="AP39" s="122"/>
      <c r="AQ39" s="122"/>
      <c r="AR39" s="123" t="str">
        <f>HYPERLINK("https://www.ejacket.nsf.gov/ej/showProposal.do?ID="&amp;ckCodingTable[[#This Row],[prop_id]],"eJ")</f>
        <v>eJ</v>
      </c>
      <c r="AS39" t="s">
        <v>1971</v>
      </c>
      <c r="AT39" t="s">
        <v>2139</v>
      </c>
      <c r="AU39" t="b">
        <f>IF(ckCodingTable[[#This Row],[ILN]]="N",SUBSTITUTE(AT38," ","")&lt;&gt;SUBSTITUTE(ckCodingTable[[#This Row],[prop_titl_txt]]," ",""), FALSE)</f>
        <v>1</v>
      </c>
      <c r="AV39">
        <v>0</v>
      </c>
      <c r="AW39" s="124">
        <v>393365</v>
      </c>
      <c r="AX39" s="124">
        <v>393365</v>
      </c>
      <c r="AY39" s="124"/>
      <c r="AZ39" s="124"/>
      <c r="BA39" s="124"/>
      <c r="BB39" s="124"/>
      <c r="BC39">
        <v>13</v>
      </c>
      <c r="BD39">
        <v>9</v>
      </c>
      <c r="BE39">
        <v>9</v>
      </c>
      <c r="BH39">
        <v>0</v>
      </c>
      <c r="BI39">
        <v>0</v>
      </c>
      <c r="BJ39">
        <v>0</v>
      </c>
      <c r="BK39">
        <v>0</v>
      </c>
      <c r="BL39" t="s">
        <v>2161</v>
      </c>
    </row>
    <row r="40" spans="1:64">
      <c r="A40" s="30">
        <v>42955.696875000001</v>
      </c>
      <c r="B40" s="30">
        <v>42809.598611111112</v>
      </c>
      <c r="C40" t="s">
        <v>1965</v>
      </c>
      <c r="D40" t="s">
        <v>741</v>
      </c>
      <c r="E40" t="s">
        <v>901</v>
      </c>
      <c r="F40" t="s">
        <v>1966</v>
      </c>
      <c r="G40" t="s">
        <v>170</v>
      </c>
      <c r="H40" s="21" t="s">
        <v>94</v>
      </c>
      <c r="I40" s="86">
        <v>1</v>
      </c>
      <c r="J40" s="86">
        <v>0</v>
      </c>
      <c r="K40" t="s">
        <v>1967</v>
      </c>
      <c r="L40" t="s">
        <v>540</v>
      </c>
      <c r="M40" t="s">
        <v>347</v>
      </c>
      <c r="N40" t="str">
        <f>IF(SUM(ckCodingTable[[#This Row],[NfmlPIs]:[NnonWhtAsnPIs]])&gt;0,"WMD","")</f>
        <v/>
      </c>
      <c r="O40" t="b">
        <f>_xlfn.XOR(IFERROR(MATCH(ckCodingTable[[#This Row],[st_code]],EpscorTable[],0)&gt;0,FALSE),IFERROR(FIND("9150",ckCodingTable[[#This Row],[propPRCs]])&gt;0,FALSE))</f>
        <v>0</v>
      </c>
      <c r="P40" s="21" t="b">
        <f>_xlfn.XOR(ckCodingTable[[#This Row],[wmd]]&lt;&gt;"",IFERROR(FIND("9102",ckCodingTable[[#This Row],[propPRCs]])&gt;0,FALSE))</f>
        <v>1</v>
      </c>
      <c r="Q40" t="s">
        <v>2007</v>
      </c>
      <c r="R40" s="22">
        <v>42914.638993055552</v>
      </c>
      <c r="S40" s="108">
        <f>S39+(ckCodingTable[[#This Row],[ILN]]&lt;"M")</f>
        <v>22</v>
      </c>
      <c r="T40" s="21" t="s">
        <v>96</v>
      </c>
      <c r="U40" t="s">
        <v>1182</v>
      </c>
      <c r="V40" s="7" t="str">
        <f>HYPERLINK("https://www.ejacket.nsf.gov/ej/showProposal.do?ID="&amp;ckCodingTable[[#This Row],[prop_id]],"eJ")</f>
        <v>eJ</v>
      </c>
      <c r="W40" t="s">
        <v>742</v>
      </c>
      <c r="X40" t="s">
        <v>1182</v>
      </c>
      <c r="Y40" t="s">
        <v>1183</v>
      </c>
      <c r="Z40" t="s">
        <v>2162</v>
      </c>
      <c r="AA40" t="s">
        <v>2163</v>
      </c>
      <c r="AB40" s="113" t="str">
        <f>HYPERLINK("mailto:"&amp;ckCodingTable[[#This Row],[email]]&amp;"&amp;subject=Your NSF Proposal:  "&amp;ckCodingTable[[#This Row],[Div]]&amp;" "&amp;ckCodingTable[[#This Row],[prop_id]], ckCodingTable[[#This Row],[email]])</f>
        <v>gmichail@ufl.edu</v>
      </c>
      <c r="AC40" s="30">
        <v>42948</v>
      </c>
      <c r="AD40">
        <v>36</v>
      </c>
      <c r="AE40">
        <v>1</v>
      </c>
      <c r="AG40" s="122"/>
      <c r="AH40" t="s">
        <v>2164</v>
      </c>
      <c r="AI40" s="26">
        <v>6</v>
      </c>
      <c r="AJ40" s="22">
        <v>42872.45</v>
      </c>
      <c r="AL40">
        <v>3</v>
      </c>
      <c r="AN40" s="122"/>
      <c r="AO40" s="122"/>
      <c r="AP40" s="122"/>
      <c r="AQ40" s="122"/>
      <c r="AR40" s="123" t="str">
        <f>HYPERLINK("https://www.ejacket.nsf.gov/ej/showProposal.do?ID="&amp;ckCodingTable[[#This Row],[prop_id]],"eJ")</f>
        <v>eJ</v>
      </c>
      <c r="AS40" t="s">
        <v>1971</v>
      </c>
      <c r="AT40" t="s">
        <v>2165</v>
      </c>
      <c r="AU40" t="b">
        <f>IF(ckCodingTable[[#This Row],[ILN]]="N",SUBSTITUTE(AT39," ","")&lt;&gt;SUBSTITUTE(ckCodingTable[[#This Row],[prop_titl_txt]]," ",""), FALSE)</f>
        <v>0</v>
      </c>
      <c r="AV40">
        <v>0</v>
      </c>
      <c r="AW40" s="124">
        <v>1500000</v>
      </c>
      <c r="AX40" s="124">
        <v>1500000</v>
      </c>
      <c r="AY40" s="124"/>
      <c r="AZ40" s="124"/>
      <c r="BA40" s="124">
        <v>339974</v>
      </c>
      <c r="BB40" s="124">
        <v>116000</v>
      </c>
      <c r="BC40">
        <v>6</v>
      </c>
      <c r="BD40">
        <v>12</v>
      </c>
      <c r="BE40">
        <v>11.4</v>
      </c>
      <c r="BH40">
        <v>0</v>
      </c>
      <c r="BI40">
        <v>0</v>
      </c>
      <c r="BJ40">
        <v>0</v>
      </c>
      <c r="BK40">
        <v>1</v>
      </c>
      <c r="BL40" t="s">
        <v>2166</v>
      </c>
    </row>
    <row r="41" spans="1:64">
      <c r="A41" s="30">
        <v>42955.698831018519</v>
      </c>
      <c r="B41" s="30">
        <v>42809.629166666666</v>
      </c>
      <c r="C41" t="s">
        <v>1965</v>
      </c>
      <c r="D41" t="s">
        <v>741</v>
      </c>
      <c r="E41" t="s">
        <v>901</v>
      </c>
      <c r="F41" t="s">
        <v>1966</v>
      </c>
      <c r="G41" t="s">
        <v>170</v>
      </c>
      <c r="H41" s="21" t="s">
        <v>94</v>
      </c>
      <c r="I41" s="86">
        <v>1</v>
      </c>
      <c r="J41" s="86">
        <v>0</v>
      </c>
      <c r="K41" t="s">
        <v>1967</v>
      </c>
      <c r="L41" t="s">
        <v>948</v>
      </c>
      <c r="M41" t="s">
        <v>344</v>
      </c>
      <c r="N41" t="str">
        <f>IF(SUM(ckCodingTable[[#This Row],[NfmlPIs]:[NnonWhtAsnPIs]])&gt;0,"WMD","")</f>
        <v/>
      </c>
      <c r="O41" t="b">
        <f>_xlfn.XOR(IFERROR(MATCH(ckCodingTable[[#This Row],[st_code]],EpscorTable[],0)&gt;0,FALSE),IFERROR(FIND("9150",ckCodingTable[[#This Row],[propPRCs]])&gt;0,FALSE))</f>
        <v>0</v>
      </c>
      <c r="P41" s="21" t="b">
        <f>_xlfn.XOR(ckCodingTable[[#This Row],[wmd]]&lt;&gt;"",IFERROR(FIND("9102",ckCodingTable[[#This Row],[propPRCs]])&gt;0,FALSE))</f>
        <v>0</v>
      </c>
      <c r="Q41" t="s">
        <v>1968</v>
      </c>
      <c r="R41" s="22">
        <v>42955.458935185183</v>
      </c>
      <c r="S41" s="108">
        <f>S40+(ckCodingTable[[#This Row],[ILN]]&lt;"M")</f>
        <v>23</v>
      </c>
      <c r="T41" s="21" t="s">
        <v>96</v>
      </c>
      <c r="U41" t="s">
        <v>1190</v>
      </c>
      <c r="V41" s="7" t="str">
        <f>HYPERLINK("https://www.ejacket.nsf.gov/ej/showProposal.do?ID="&amp;ckCodingTable[[#This Row],[prop_id]],"eJ")</f>
        <v>eJ</v>
      </c>
      <c r="W41" t="s">
        <v>742</v>
      </c>
      <c r="X41" t="s">
        <v>1190</v>
      </c>
      <c r="Y41" t="s">
        <v>1191</v>
      </c>
      <c r="Z41" t="s">
        <v>2167</v>
      </c>
      <c r="AA41" t="s">
        <v>2168</v>
      </c>
      <c r="AB41" s="113" t="str">
        <f>HYPERLINK("mailto:"&amp;ckCodingTable[[#This Row],[email]]&amp;"&amp;subject=Your NSF Proposal:  "&amp;ckCodingTable[[#This Row],[Div]]&amp;" "&amp;ckCodingTable[[#This Row],[prop_id]], ckCodingTable[[#This Row],[email]])</f>
        <v>mitran@unc.edu</v>
      </c>
      <c r="AC41" s="30">
        <v>43101</v>
      </c>
      <c r="AD41">
        <v>36</v>
      </c>
      <c r="AE41">
        <v>1</v>
      </c>
      <c r="AF41">
        <v>1</v>
      </c>
      <c r="AG41" s="122"/>
      <c r="AH41" t="s">
        <v>2004</v>
      </c>
      <c r="AI41" s="26">
        <v>3.6666666666666665</v>
      </c>
      <c r="AJ41" s="22">
        <v>42878.386805555558</v>
      </c>
      <c r="AK41" s="22">
        <v>1</v>
      </c>
      <c r="AL41">
        <v>3</v>
      </c>
      <c r="AN41" s="122"/>
      <c r="AO41" s="122"/>
      <c r="AP41" s="122"/>
      <c r="AQ41" s="122"/>
      <c r="AR41" s="123" t="str">
        <f>HYPERLINK("https://www.ejacket.nsf.gov/ej/showProposal.do?ID="&amp;ckCodingTable[[#This Row],[prop_id]],"eJ")</f>
        <v>eJ</v>
      </c>
      <c r="AS41" t="s">
        <v>1971</v>
      </c>
      <c r="AT41" t="s">
        <v>2169</v>
      </c>
      <c r="AU41" t="b">
        <f>IF(ckCodingTable[[#This Row],[ILN]]="N",SUBSTITUTE(AT40," ","")&lt;&gt;SUBSTITUTE(ckCodingTable[[#This Row],[prop_titl_txt]]," ",""), FALSE)</f>
        <v>0</v>
      </c>
      <c r="AV41">
        <v>0</v>
      </c>
      <c r="AW41" s="124">
        <v>1495036</v>
      </c>
      <c r="AX41" s="124">
        <v>1495036</v>
      </c>
      <c r="AY41" s="124"/>
      <c r="AZ41" s="124">
        <v>10800</v>
      </c>
      <c r="BA41" s="124"/>
      <c r="BB41" s="124">
        <v>51000</v>
      </c>
      <c r="BC41">
        <v>18</v>
      </c>
      <c r="BD41">
        <v>12</v>
      </c>
      <c r="BE41">
        <v>7.5</v>
      </c>
      <c r="BG41">
        <v>1.5</v>
      </c>
      <c r="BH41">
        <v>0</v>
      </c>
      <c r="BI41">
        <v>0</v>
      </c>
      <c r="BJ41">
        <v>0</v>
      </c>
      <c r="BK41">
        <v>0</v>
      </c>
      <c r="BL41" t="s">
        <v>2170</v>
      </c>
    </row>
    <row r="42" spans="1:64">
      <c r="A42" s="30">
        <v>42936.692673611113</v>
      </c>
      <c r="B42" s="30">
        <v>42809.64166666667</v>
      </c>
      <c r="C42" t="s">
        <v>1965</v>
      </c>
      <c r="D42" t="s">
        <v>741</v>
      </c>
      <c r="E42" t="s">
        <v>901</v>
      </c>
      <c r="F42" t="s">
        <v>1974</v>
      </c>
      <c r="G42" t="s">
        <v>170</v>
      </c>
      <c r="H42" s="21" t="s">
        <v>94</v>
      </c>
      <c r="I42" s="86">
        <v>1</v>
      </c>
      <c r="J42" s="86">
        <v>0</v>
      </c>
      <c r="K42" t="s">
        <v>1967</v>
      </c>
      <c r="L42" t="s">
        <v>540</v>
      </c>
      <c r="M42" t="s">
        <v>2107</v>
      </c>
      <c r="N42" t="str">
        <f>IF(SUM(ckCodingTable[[#This Row],[NfmlPIs]:[NnonWhtAsnPIs]])&gt;0,"WMD","")</f>
        <v>WMD</v>
      </c>
      <c r="O42" t="b">
        <f>_xlfn.XOR(IFERROR(MATCH(ckCodingTable[[#This Row],[st_code]],EpscorTable[],0)&gt;0,FALSE),IFERROR(FIND("9150",ckCodingTable[[#This Row],[propPRCs]])&gt;0,FALSE))</f>
        <v>0</v>
      </c>
      <c r="P42" s="21" t="b">
        <f>_xlfn.XOR(ckCodingTable[[#This Row],[wmd]]&lt;&gt;"",IFERROR(FIND("9102",ckCodingTable[[#This Row],[propPRCs]])&gt;0,FALSE))</f>
        <v>0</v>
      </c>
      <c r="Q42" t="s">
        <v>2007</v>
      </c>
      <c r="R42" s="22">
        <v>42934.612986111111</v>
      </c>
      <c r="S42" s="108">
        <f>S41+(ckCodingTable[[#This Row],[ILN]]&lt;"M")</f>
        <v>24</v>
      </c>
      <c r="T42" s="21" t="s">
        <v>1981</v>
      </c>
      <c r="U42" t="s">
        <v>1197</v>
      </c>
      <c r="V42" s="7" t="str">
        <f>HYPERLINK("https://www.ejacket.nsf.gov/ej/showProposal.do?ID="&amp;ckCodingTable[[#This Row],[prop_id]],"eJ")</f>
        <v>eJ</v>
      </c>
      <c r="W42" t="s">
        <v>742</v>
      </c>
      <c r="X42" t="s">
        <v>1197</v>
      </c>
      <c r="Y42" t="s">
        <v>1198</v>
      </c>
      <c r="Z42" t="s">
        <v>2171</v>
      </c>
      <c r="AA42" t="s">
        <v>2109</v>
      </c>
      <c r="AB42" s="113" t="str">
        <f>HYPERLINK("mailto:"&amp;ckCodingTable[[#This Row],[email]]&amp;"&amp;subject=Your NSF Proposal:  "&amp;ckCodingTable[[#This Row],[Div]]&amp;" "&amp;ckCodingTable[[#This Row],[prop_id]], ckCodingTable[[#This Row],[email]])</f>
        <v>kas410@lehigh.edu</v>
      </c>
      <c r="AC42" s="30">
        <v>43101</v>
      </c>
      <c r="AD42">
        <v>36</v>
      </c>
      <c r="AE42">
        <v>1</v>
      </c>
      <c r="AG42" s="122"/>
      <c r="AH42" t="s">
        <v>2172</v>
      </c>
      <c r="AI42" s="26">
        <v>6.666666666666667</v>
      </c>
      <c r="AJ42" s="22">
        <v>42872.496527777781</v>
      </c>
      <c r="AK42" s="22">
        <v>1</v>
      </c>
      <c r="AL42">
        <v>3</v>
      </c>
      <c r="AN42" s="122"/>
      <c r="AO42" s="122"/>
      <c r="AP42" s="122"/>
      <c r="AQ42" s="122"/>
      <c r="AR42" s="123" t="str">
        <f>HYPERLINK("https://www.ejacket.nsf.gov/ej/showProposal.do?ID="&amp;ckCodingTable[[#This Row],[prop_id]],"eJ")</f>
        <v>eJ</v>
      </c>
      <c r="AS42" t="s">
        <v>1977</v>
      </c>
      <c r="AT42" t="s">
        <v>2173</v>
      </c>
      <c r="AU42" t="b">
        <f>IF(ckCodingTable[[#This Row],[ILN]]="N",SUBSTITUTE(AT41," ","")&lt;&gt;SUBSTITUTE(ckCodingTable[[#This Row],[prop_titl_txt]]," ",""), FALSE)</f>
        <v>0</v>
      </c>
      <c r="AV42">
        <v>1</v>
      </c>
      <c r="AW42" s="124">
        <v>895670</v>
      </c>
      <c r="AX42" s="124">
        <v>895670</v>
      </c>
      <c r="AY42" s="124"/>
      <c r="AZ42" s="124"/>
      <c r="BA42" s="124">
        <v>139091</v>
      </c>
      <c r="BB42" s="124"/>
      <c r="BC42">
        <v>6</v>
      </c>
      <c r="BD42">
        <v>9</v>
      </c>
      <c r="BE42">
        <v>6.25</v>
      </c>
      <c r="BH42">
        <v>1</v>
      </c>
      <c r="BI42">
        <v>0</v>
      </c>
      <c r="BJ42">
        <v>0</v>
      </c>
      <c r="BK42">
        <v>1</v>
      </c>
      <c r="BL42" t="s">
        <v>2174</v>
      </c>
    </row>
    <row r="43" spans="1:64">
      <c r="A43" s="30">
        <v>42936.693009259259</v>
      </c>
      <c r="B43" s="30">
        <v>42809.44027777778</v>
      </c>
      <c r="C43" t="s">
        <v>1965</v>
      </c>
      <c r="D43" t="s">
        <v>741</v>
      </c>
      <c r="E43" t="s">
        <v>901</v>
      </c>
      <c r="F43" t="s">
        <v>1974</v>
      </c>
      <c r="G43" t="s">
        <v>170</v>
      </c>
      <c r="H43" s="21" t="s">
        <v>94</v>
      </c>
      <c r="I43" s="86">
        <v>1</v>
      </c>
      <c r="J43" s="86">
        <v>0</v>
      </c>
      <c r="K43" t="s">
        <v>1967</v>
      </c>
      <c r="L43" t="s">
        <v>540</v>
      </c>
      <c r="M43" t="s">
        <v>340</v>
      </c>
      <c r="N43" t="str">
        <f>IF(SUM(ckCodingTable[[#This Row],[NfmlPIs]:[NnonWhtAsnPIs]])&gt;0,"WMD","")</f>
        <v/>
      </c>
      <c r="O43" t="b">
        <f>_xlfn.XOR(IFERROR(MATCH(ckCodingTable[[#This Row],[st_code]],EpscorTable[],0)&gt;0,FALSE),IFERROR(FIND("9150",ckCodingTable[[#This Row],[propPRCs]])&gt;0,FALSE))</f>
        <v>0</v>
      </c>
      <c r="P43" s="21" t="b">
        <f>_xlfn.XOR(ckCodingTable[[#This Row],[wmd]]&lt;&gt;"",IFERROR(FIND("9102",ckCodingTable[[#This Row],[propPRCs]])&gt;0,FALSE))</f>
        <v>0</v>
      </c>
      <c r="Q43" t="s">
        <v>1968</v>
      </c>
      <c r="R43" s="22">
        <v>42934.612986111111</v>
      </c>
      <c r="S43" s="108">
        <f>S42+(ckCodingTable[[#This Row],[ILN]]&lt;"M")</f>
        <v>24</v>
      </c>
      <c r="T43" s="21" t="s">
        <v>1989</v>
      </c>
      <c r="U43" t="s">
        <v>1197</v>
      </c>
      <c r="V43" s="7" t="str">
        <f>HYPERLINK("https://www.ejacket.nsf.gov/ej/showProposal.do?ID="&amp;ckCodingTable[[#This Row],[prop_id]],"eJ")</f>
        <v>eJ</v>
      </c>
      <c r="W43" t="s">
        <v>742</v>
      </c>
      <c r="X43" t="s">
        <v>2175</v>
      </c>
      <c r="Y43" t="s">
        <v>2176</v>
      </c>
      <c r="Z43" t="s">
        <v>2177</v>
      </c>
      <c r="AA43" t="s">
        <v>2178</v>
      </c>
      <c r="AB43" s="113" t="str">
        <f>HYPERLINK("mailto:"&amp;ckCodingTable[[#This Row],[email]]&amp;"&amp;subject=Your NSF Proposal:  "&amp;ckCodingTable[[#This Row],[Div]]&amp;" "&amp;ckCodingTable[[#This Row],[prop_id]], ckCodingTable[[#This Row],[email]])</f>
        <v>hanliu@princeton.edu</v>
      </c>
      <c r="AC43" s="30">
        <v>43101</v>
      </c>
      <c r="AD43">
        <v>36</v>
      </c>
      <c r="AG43" s="122"/>
      <c r="AI43" s="26"/>
      <c r="AJ43" s="22"/>
      <c r="AN43" s="122"/>
      <c r="AO43" s="122"/>
      <c r="AP43" s="122"/>
      <c r="AQ43" s="122"/>
      <c r="AR43" s="123" t="str">
        <f>HYPERLINK("https://www.ejacket.nsf.gov/ej/showProposal.do?ID="&amp;ckCodingTable[[#This Row],[prop_id]],"eJ")</f>
        <v>eJ</v>
      </c>
      <c r="AS43" t="s">
        <v>1977</v>
      </c>
      <c r="AT43" t="s">
        <v>2179</v>
      </c>
      <c r="AU43" t="b">
        <f>IF(ckCodingTable[[#This Row],[ILN]]="N",SUBSTITUTE(AT42," ","")&lt;&gt;SUBSTITUTE(ckCodingTable[[#This Row],[prop_titl_txt]]," ",""), FALSE)</f>
        <v>0</v>
      </c>
      <c r="AV43">
        <v>0</v>
      </c>
      <c r="AW43" s="124">
        <v>300000</v>
      </c>
      <c r="AX43" s="124">
        <v>300000</v>
      </c>
      <c r="AY43" s="124"/>
      <c r="AZ43" s="124"/>
      <c r="BA43" s="124"/>
      <c r="BB43" s="124"/>
      <c r="BC43">
        <v>3</v>
      </c>
      <c r="BD43">
        <v>3</v>
      </c>
      <c r="BE43">
        <v>3</v>
      </c>
      <c r="BH43">
        <v>0</v>
      </c>
      <c r="BI43">
        <v>0</v>
      </c>
      <c r="BJ43">
        <v>0</v>
      </c>
      <c r="BK43">
        <v>0</v>
      </c>
      <c r="BL43" t="s">
        <v>2180</v>
      </c>
    </row>
    <row r="44" spans="1:64">
      <c r="A44" s="30">
        <v>42936.700601851851</v>
      </c>
      <c r="B44" s="30">
        <v>42809.555555555555</v>
      </c>
      <c r="C44" t="s">
        <v>1965</v>
      </c>
      <c r="D44" t="s">
        <v>741</v>
      </c>
      <c r="E44" t="s">
        <v>901</v>
      </c>
      <c r="F44" t="s">
        <v>1974</v>
      </c>
      <c r="G44" t="s">
        <v>170</v>
      </c>
      <c r="H44" s="21" t="s">
        <v>94</v>
      </c>
      <c r="I44" s="86">
        <v>1</v>
      </c>
      <c r="J44" s="86">
        <v>0</v>
      </c>
      <c r="K44" t="s">
        <v>1967</v>
      </c>
      <c r="L44" t="s">
        <v>540</v>
      </c>
      <c r="M44" t="s">
        <v>258</v>
      </c>
      <c r="N44" t="str">
        <f>IF(SUM(ckCodingTable[[#This Row],[NfmlPIs]:[NnonWhtAsnPIs]])&gt;0,"WMD","")</f>
        <v/>
      </c>
      <c r="O44" t="b">
        <f>_xlfn.XOR(IFERROR(MATCH(ckCodingTable[[#This Row],[st_code]],EpscorTable[],0)&gt;0,FALSE),IFERROR(FIND("9150",ckCodingTable[[#This Row],[propPRCs]])&gt;0,FALSE))</f>
        <v>0</v>
      </c>
      <c r="P44" s="21" t="b">
        <f>_xlfn.XOR(ckCodingTable[[#This Row],[wmd]]&lt;&gt;"",IFERROR(FIND("9102",ckCodingTable[[#This Row],[propPRCs]])&gt;0,FALSE))</f>
        <v>0</v>
      </c>
      <c r="Q44" t="s">
        <v>1968</v>
      </c>
      <c r="R44" s="22">
        <v>42934.612986111111</v>
      </c>
      <c r="S44" s="108">
        <f>S43+(ckCodingTable[[#This Row],[ILN]]&lt;"M")</f>
        <v>24</v>
      </c>
      <c r="T44" s="21" t="s">
        <v>1989</v>
      </c>
      <c r="U44" t="s">
        <v>1197</v>
      </c>
      <c r="V44" s="7" t="str">
        <f>HYPERLINK("https://www.ejacket.nsf.gov/ej/showProposal.do?ID="&amp;ckCodingTable[[#This Row],[prop_id]],"eJ")</f>
        <v>eJ</v>
      </c>
      <c r="W44" t="s">
        <v>742</v>
      </c>
      <c r="X44" t="s">
        <v>2181</v>
      </c>
      <c r="Y44" t="s">
        <v>618</v>
      </c>
      <c r="Z44" t="s">
        <v>769</v>
      </c>
      <c r="AA44" t="s">
        <v>770</v>
      </c>
      <c r="AB44" s="113" t="str">
        <f>HYPERLINK("mailto:"&amp;ckCodingTable[[#This Row],[email]]&amp;"&amp;subject=Your NSF Proposal:  "&amp;ckCodingTable[[#This Row],[Div]]&amp;" "&amp;ckCodingTable[[#This Row],[prop_id]], ckCodingTable[[#This Row],[email]])</f>
        <v>francesco@cs.stonybrook.edu</v>
      </c>
      <c r="AC44" s="30">
        <v>43101</v>
      </c>
      <c r="AD44">
        <v>36</v>
      </c>
      <c r="AG44" s="122"/>
      <c r="AI44" s="26"/>
      <c r="AJ44" s="22"/>
      <c r="AN44" s="122"/>
      <c r="AO44" s="122"/>
      <c r="AP44" s="122"/>
      <c r="AQ44" s="122"/>
      <c r="AR44" s="123" t="str">
        <f>HYPERLINK("https://www.ejacket.nsf.gov/ej/showProposal.do?ID="&amp;ckCodingTable[[#This Row],[prop_id]],"eJ")</f>
        <v>eJ</v>
      </c>
      <c r="AS44" t="s">
        <v>1977</v>
      </c>
      <c r="AT44" t="s">
        <v>2173</v>
      </c>
      <c r="AU44" t="b">
        <f>IF(ckCodingTable[[#This Row],[ILN]]="N",SUBSTITUTE(AT43," ","")&lt;&gt;SUBSTITUTE(ckCodingTable[[#This Row],[prop_titl_txt]]," ",""), FALSE)</f>
        <v>0</v>
      </c>
      <c r="AV44">
        <v>0</v>
      </c>
      <c r="AW44" s="124">
        <v>288482</v>
      </c>
      <c r="AX44" s="124">
        <v>288482</v>
      </c>
      <c r="AY44" s="124"/>
      <c r="AZ44" s="124">
        <v>7500</v>
      </c>
      <c r="BA44" s="124"/>
      <c r="BB44" s="124"/>
      <c r="BC44">
        <v>3</v>
      </c>
      <c r="BD44">
        <v>3</v>
      </c>
      <c r="BE44">
        <v>3</v>
      </c>
      <c r="BH44">
        <v>0</v>
      </c>
      <c r="BI44">
        <v>0</v>
      </c>
      <c r="BJ44">
        <v>0</v>
      </c>
      <c r="BK44">
        <v>0</v>
      </c>
      <c r="BL44" t="s">
        <v>773</v>
      </c>
    </row>
    <row r="45" spans="1:64">
      <c r="A45" s="30">
        <v>42955.700150462966</v>
      </c>
      <c r="B45" s="30">
        <v>42809.642361111109</v>
      </c>
      <c r="C45" t="s">
        <v>1965</v>
      </c>
      <c r="D45" t="s">
        <v>741</v>
      </c>
      <c r="E45" t="s">
        <v>901</v>
      </c>
      <c r="F45" t="s">
        <v>1966</v>
      </c>
      <c r="G45" t="s">
        <v>170</v>
      </c>
      <c r="H45" s="21" t="s">
        <v>94</v>
      </c>
      <c r="I45" s="86">
        <v>1</v>
      </c>
      <c r="J45" s="86">
        <v>0</v>
      </c>
      <c r="K45" t="s">
        <v>1967</v>
      </c>
      <c r="L45" t="s">
        <v>540</v>
      </c>
      <c r="M45" t="s">
        <v>2182</v>
      </c>
      <c r="N45" t="str">
        <f>IF(SUM(ckCodingTable[[#This Row],[NfmlPIs]:[NnonWhtAsnPIs]])&gt;0,"WMD","")</f>
        <v>WMD</v>
      </c>
      <c r="O45" t="b">
        <f>_xlfn.XOR(IFERROR(MATCH(ckCodingTable[[#This Row],[st_code]],EpscorTable[],0)&gt;0,FALSE),IFERROR(FIND("9150",ckCodingTable[[#This Row],[propPRCs]])&gt;0,FALSE))</f>
        <v>0</v>
      </c>
      <c r="P45" s="21" t="b">
        <f>_xlfn.XOR(ckCodingTable[[#This Row],[wmd]]&lt;&gt;"",IFERROR(FIND("9102",ckCodingTable[[#This Row],[propPRCs]])&gt;0,FALSE))</f>
        <v>0</v>
      </c>
      <c r="Q45" t="s">
        <v>2007</v>
      </c>
      <c r="R45" s="22">
        <v>42914.639050925929</v>
      </c>
      <c r="S45" s="108">
        <f>S44+(ckCodingTable[[#This Row],[ILN]]&lt;"M")</f>
        <v>25</v>
      </c>
      <c r="T45" s="21" t="s">
        <v>96</v>
      </c>
      <c r="U45" t="s">
        <v>1207</v>
      </c>
      <c r="V45" s="7" t="str">
        <f>HYPERLINK("https://www.ejacket.nsf.gov/ej/showProposal.do?ID="&amp;ckCodingTable[[#This Row],[prop_id]],"eJ")</f>
        <v>eJ</v>
      </c>
      <c r="W45" t="s">
        <v>742</v>
      </c>
      <c r="X45" t="s">
        <v>1207</v>
      </c>
      <c r="Y45" t="s">
        <v>1208</v>
      </c>
      <c r="Z45" t="s">
        <v>2183</v>
      </c>
      <c r="AA45" t="s">
        <v>2184</v>
      </c>
      <c r="AB45" s="113" t="str">
        <f>HYPERLINK("mailto:"&amp;ckCodingTable[[#This Row],[email]]&amp;"&amp;subject=Your NSF Proposal:  "&amp;ckCodingTable[[#This Row],[Div]]&amp;" "&amp;ckCodingTable[[#This Row],[prop_id]], ckCodingTable[[#This Row],[email]])</f>
        <v>embree@vt.edu</v>
      </c>
      <c r="AC45" s="30">
        <v>43009</v>
      </c>
      <c r="AD45">
        <v>36</v>
      </c>
      <c r="AE45">
        <v>1</v>
      </c>
      <c r="AG45" s="122"/>
      <c r="AH45" t="s">
        <v>2185</v>
      </c>
      <c r="AI45" s="26">
        <v>4.666666666666667</v>
      </c>
      <c r="AJ45" s="22">
        <v>42873.55</v>
      </c>
      <c r="AL45">
        <v>3</v>
      </c>
      <c r="AN45" s="122"/>
      <c r="AO45" s="122"/>
      <c r="AP45" s="122"/>
      <c r="AQ45" s="122"/>
      <c r="AR45" s="123" t="str">
        <f>HYPERLINK("https://www.ejacket.nsf.gov/ej/showProposal.do?ID="&amp;ckCodingTable[[#This Row],[prop_id]],"eJ")</f>
        <v>eJ</v>
      </c>
      <c r="AS45" t="s">
        <v>1971</v>
      </c>
      <c r="AT45" t="s">
        <v>2186</v>
      </c>
      <c r="AU45" t="b">
        <f>IF(ckCodingTable[[#This Row],[ILN]]="N",SUBSTITUTE(AT44," ","")&lt;&gt;SUBSTITUTE(ckCodingTable[[#This Row],[prop_titl_txt]]," ",""), FALSE)</f>
        <v>0</v>
      </c>
      <c r="AV45">
        <v>0</v>
      </c>
      <c r="AW45" s="124">
        <v>1498424</v>
      </c>
      <c r="AX45" s="124">
        <v>1498424</v>
      </c>
      <c r="AY45" s="124"/>
      <c r="AZ45" s="124"/>
      <c r="BA45" s="124"/>
      <c r="BB45" s="124">
        <v>139899</v>
      </c>
      <c r="BC45">
        <v>16</v>
      </c>
      <c r="BD45">
        <v>27</v>
      </c>
      <c r="BE45">
        <v>11.49</v>
      </c>
      <c r="BH45">
        <v>2</v>
      </c>
      <c r="BI45">
        <v>0</v>
      </c>
      <c r="BJ45">
        <v>0</v>
      </c>
      <c r="BK45">
        <v>0</v>
      </c>
      <c r="BL45" t="s">
        <v>2187</v>
      </c>
    </row>
    <row r="46" spans="1:64">
      <c r="A46" s="30">
        <v>42957.67931712963</v>
      </c>
      <c r="B46" s="30">
        <v>42809.648611111108</v>
      </c>
      <c r="C46" t="s">
        <v>1965</v>
      </c>
      <c r="D46" t="s">
        <v>741</v>
      </c>
      <c r="E46" t="s">
        <v>901</v>
      </c>
      <c r="F46" t="s">
        <v>1966</v>
      </c>
      <c r="G46" t="s">
        <v>170</v>
      </c>
      <c r="H46" s="21" t="s">
        <v>94</v>
      </c>
      <c r="I46" s="86">
        <v>1</v>
      </c>
      <c r="J46" s="86">
        <v>0</v>
      </c>
      <c r="K46" t="s">
        <v>1967</v>
      </c>
      <c r="L46" t="s">
        <v>543</v>
      </c>
      <c r="M46" t="s">
        <v>1980</v>
      </c>
      <c r="N46" t="str">
        <f>IF(SUM(ckCodingTable[[#This Row],[NfmlPIs]:[NnonWhtAsnPIs]])&gt;0,"WMD","")</f>
        <v>WMD</v>
      </c>
      <c r="O46" t="b">
        <f>_xlfn.XOR(IFERROR(MATCH(ckCodingTable[[#This Row],[st_code]],EpscorTable[],0)&gt;0,FALSE),IFERROR(FIND("9150",ckCodingTable[[#This Row],[propPRCs]])&gt;0,FALSE))</f>
        <v>0</v>
      </c>
      <c r="P46" s="21" t="b">
        <f>_xlfn.XOR(ckCodingTable[[#This Row],[wmd]]&lt;&gt;"",IFERROR(FIND("9102",ckCodingTable[[#This Row],[propPRCs]])&gt;0,FALSE))</f>
        <v>1</v>
      </c>
      <c r="Q46" t="s">
        <v>1968</v>
      </c>
      <c r="R46" s="22">
        <v>42951.506886574076</v>
      </c>
      <c r="S46" s="108">
        <f>S45+(ckCodingTable[[#This Row],[ILN]]&lt;"M")</f>
        <v>26</v>
      </c>
      <c r="T46" s="21" t="s">
        <v>96</v>
      </c>
      <c r="U46" t="s">
        <v>1215</v>
      </c>
      <c r="V46" s="7" t="str">
        <f>HYPERLINK("https://www.ejacket.nsf.gov/ej/showProposal.do?ID="&amp;ckCodingTable[[#This Row],[prop_id]],"eJ")</f>
        <v>eJ</v>
      </c>
      <c r="W46" t="s">
        <v>742</v>
      </c>
      <c r="X46" t="s">
        <v>1215</v>
      </c>
      <c r="Y46" t="s">
        <v>1216</v>
      </c>
      <c r="Z46" t="s">
        <v>2188</v>
      </c>
      <c r="AA46" t="s">
        <v>1983</v>
      </c>
      <c r="AB46" s="113" t="str">
        <f>HYPERLINK("mailto:"&amp;ckCodingTable[[#This Row],[email]]&amp;"&amp;subject=Your NSF Proposal:  "&amp;ckCodingTable[[#This Row],[Div]]&amp;" "&amp;ckCodingTable[[#This Row],[prop_id]], ckCodingTable[[#This Row],[email]])</f>
        <v>rvidal@cis.jhu.edu</v>
      </c>
      <c r="AC46" s="30">
        <v>42979</v>
      </c>
      <c r="AD46">
        <v>36</v>
      </c>
      <c r="AE46">
        <v>1</v>
      </c>
      <c r="AG46" s="122"/>
      <c r="AH46" t="s">
        <v>2189</v>
      </c>
      <c r="AI46" s="26">
        <v>6</v>
      </c>
      <c r="AJ46" s="22">
        <v>42872.504861111112</v>
      </c>
      <c r="AL46">
        <v>3</v>
      </c>
      <c r="AN46" s="122"/>
      <c r="AO46" s="122"/>
      <c r="AP46" s="122"/>
      <c r="AQ46" s="122"/>
      <c r="AR46" s="123" t="str">
        <f>HYPERLINK("https://www.ejacket.nsf.gov/ej/showProposal.do?ID="&amp;ckCodingTable[[#This Row],[prop_id]],"eJ")</f>
        <v>eJ</v>
      </c>
      <c r="AS46" t="s">
        <v>1971</v>
      </c>
      <c r="AT46" t="s">
        <v>2190</v>
      </c>
      <c r="AU46" t="b">
        <f>IF(ckCodingTable[[#This Row],[ILN]]="N",SUBSTITUTE(AT45," ","")&lt;&gt;SUBSTITUTE(ckCodingTable[[#This Row],[prop_titl_txt]]," ",""), FALSE)</f>
        <v>0</v>
      </c>
      <c r="AV46">
        <v>0</v>
      </c>
      <c r="AW46" s="124">
        <v>1500000</v>
      </c>
      <c r="AX46" s="124">
        <v>1500000</v>
      </c>
      <c r="AY46" s="124"/>
      <c r="AZ46" s="124">
        <v>32145</v>
      </c>
      <c r="BA46" s="124"/>
      <c r="BB46" s="124">
        <v>209970</v>
      </c>
      <c r="BC46">
        <v>12</v>
      </c>
      <c r="BD46">
        <v>21</v>
      </c>
      <c r="BG46">
        <v>9</v>
      </c>
      <c r="BH46">
        <v>0</v>
      </c>
      <c r="BI46">
        <v>2</v>
      </c>
      <c r="BJ46">
        <v>0</v>
      </c>
      <c r="BK46">
        <v>0</v>
      </c>
      <c r="BL46" t="s">
        <v>2191</v>
      </c>
    </row>
    <row r="47" spans="1:64">
      <c r="A47" s="30">
        <v>42955.654189814813</v>
      </c>
      <c r="B47" s="30">
        <v>42809.649305555555</v>
      </c>
      <c r="C47" t="s">
        <v>1965</v>
      </c>
      <c r="D47" t="s">
        <v>741</v>
      </c>
      <c r="E47" t="s">
        <v>901</v>
      </c>
      <c r="F47" t="s">
        <v>1966</v>
      </c>
      <c r="G47" t="s">
        <v>170</v>
      </c>
      <c r="H47" s="21" t="s">
        <v>94</v>
      </c>
      <c r="I47" s="86">
        <v>1</v>
      </c>
      <c r="J47" s="86">
        <v>0</v>
      </c>
      <c r="K47" t="s">
        <v>1967</v>
      </c>
      <c r="L47" t="s">
        <v>942</v>
      </c>
      <c r="M47" t="s">
        <v>2192</v>
      </c>
      <c r="N47" t="str">
        <f>IF(SUM(ckCodingTable[[#This Row],[NfmlPIs]:[NnonWhtAsnPIs]])&gt;0,"WMD","")</f>
        <v/>
      </c>
      <c r="O47" t="b">
        <f>_xlfn.XOR(IFERROR(MATCH(ckCodingTable[[#This Row],[st_code]],EpscorTable[],0)&gt;0,FALSE),IFERROR(FIND("9150",ckCodingTable[[#This Row],[propPRCs]])&gt;0,FALSE))</f>
        <v>0</v>
      </c>
      <c r="P47" s="21" t="b">
        <f>_xlfn.XOR(ckCodingTable[[#This Row],[wmd]]&lt;&gt;"",IFERROR(FIND("9102",ckCodingTable[[#This Row],[propPRCs]])&gt;0,FALSE))</f>
        <v>0</v>
      </c>
      <c r="Q47" t="s">
        <v>1968</v>
      </c>
      <c r="R47" s="22">
        <v>42955.527268518519</v>
      </c>
      <c r="S47" s="108">
        <f>S46+(ckCodingTable[[#This Row],[ILN]]&lt;"M")</f>
        <v>27</v>
      </c>
      <c r="T47" s="21" t="s">
        <v>96</v>
      </c>
      <c r="U47" t="s">
        <v>1222</v>
      </c>
      <c r="V47" s="7" t="str">
        <f>HYPERLINK("https://www.ejacket.nsf.gov/ej/showProposal.do?ID="&amp;ckCodingTable[[#This Row],[prop_id]],"eJ")</f>
        <v>eJ</v>
      </c>
      <c r="W47" t="s">
        <v>742</v>
      </c>
      <c r="X47" t="s">
        <v>1222</v>
      </c>
      <c r="Y47" t="s">
        <v>1223</v>
      </c>
      <c r="Z47" t="s">
        <v>2013</v>
      </c>
      <c r="AA47" t="s">
        <v>2193</v>
      </c>
      <c r="AB47" s="113" t="str">
        <f>HYPERLINK("mailto:"&amp;ckCodingTable[[#This Row],[email]]&amp;"&amp;subject=Your NSF Proposal:  "&amp;ckCodingTable[[#This Row],[Div]]&amp;" "&amp;ckCodingTable[[#This Row],[prop_id]], ckCodingTable[[#This Row],[email]])</f>
        <v>jeffp@cs.utah.edu</v>
      </c>
      <c r="AC47" s="30">
        <v>42979</v>
      </c>
      <c r="AD47">
        <v>36</v>
      </c>
      <c r="AE47">
        <v>1</v>
      </c>
      <c r="AG47" s="122"/>
      <c r="AH47" t="s">
        <v>2194</v>
      </c>
      <c r="AI47" s="26">
        <v>6.333333333333333</v>
      </c>
      <c r="AJ47" s="22">
        <v>42884.185416666667</v>
      </c>
      <c r="AK47" s="22">
        <v>1</v>
      </c>
      <c r="AL47">
        <v>3</v>
      </c>
      <c r="AN47" s="122"/>
      <c r="AO47" s="122"/>
      <c r="AP47" s="122"/>
      <c r="AQ47" s="122"/>
      <c r="AR47" s="123" t="str">
        <f>HYPERLINK("https://www.ejacket.nsf.gov/ej/showProposal.do?ID="&amp;ckCodingTable[[#This Row],[prop_id]],"eJ")</f>
        <v>eJ</v>
      </c>
      <c r="AS47" t="s">
        <v>1971</v>
      </c>
      <c r="AT47" t="s">
        <v>2195</v>
      </c>
      <c r="AU47" t="b">
        <f>IF(ckCodingTable[[#This Row],[ILN]]="N",SUBSTITUTE(AT46," ","")&lt;&gt;SUBSTITUTE(ckCodingTable[[#This Row],[prop_titl_txt]]," ",""), FALSE)</f>
        <v>0</v>
      </c>
      <c r="AV47">
        <v>0</v>
      </c>
      <c r="AW47" s="124">
        <v>1500000</v>
      </c>
      <c r="AX47" s="124">
        <v>1500000</v>
      </c>
      <c r="AY47" s="124"/>
      <c r="AZ47" s="124"/>
      <c r="BA47" s="124">
        <v>202904</v>
      </c>
      <c r="BB47" s="124">
        <v>45000</v>
      </c>
      <c r="BC47">
        <v>9</v>
      </c>
      <c r="BD47">
        <v>21</v>
      </c>
      <c r="BE47">
        <v>6</v>
      </c>
      <c r="BH47">
        <v>0</v>
      </c>
      <c r="BI47">
        <v>0</v>
      </c>
      <c r="BJ47">
        <v>0</v>
      </c>
      <c r="BK47">
        <v>0</v>
      </c>
      <c r="BL47" t="s">
        <v>2196</v>
      </c>
    </row>
    <row r="48" spans="1:64">
      <c r="A48" s="30">
        <v>42957.620868055557</v>
      </c>
      <c r="B48" s="30">
        <v>42809.651388888888</v>
      </c>
      <c r="C48" t="s">
        <v>1965</v>
      </c>
      <c r="D48" t="s">
        <v>741</v>
      </c>
      <c r="E48" t="s">
        <v>901</v>
      </c>
      <c r="F48" t="s">
        <v>1966</v>
      </c>
      <c r="G48" t="s">
        <v>170</v>
      </c>
      <c r="H48" s="21" t="s">
        <v>94</v>
      </c>
      <c r="I48" s="86">
        <v>1</v>
      </c>
      <c r="J48" s="86">
        <v>0</v>
      </c>
      <c r="K48" t="s">
        <v>1967</v>
      </c>
      <c r="L48" t="s">
        <v>543</v>
      </c>
      <c r="M48" t="s">
        <v>344</v>
      </c>
      <c r="N48" t="str">
        <f>IF(SUM(ckCodingTable[[#This Row],[NfmlPIs]:[NnonWhtAsnPIs]])&gt;0,"WMD","")</f>
        <v>WMD</v>
      </c>
      <c r="O48" t="b">
        <f>_xlfn.XOR(IFERROR(MATCH(ckCodingTable[[#This Row],[st_code]],EpscorTable[],0)&gt;0,FALSE),IFERROR(FIND("9150",ckCodingTable[[#This Row],[propPRCs]])&gt;0,FALSE))</f>
        <v>0</v>
      </c>
      <c r="P48" s="21" t="b">
        <f>_xlfn.XOR(ckCodingTable[[#This Row],[wmd]]&lt;&gt;"",IFERROR(FIND("9102",ckCodingTable[[#This Row],[propPRCs]])&gt;0,FALSE))</f>
        <v>1</v>
      </c>
      <c r="Q48" t="s">
        <v>1968</v>
      </c>
      <c r="R48" s="22">
        <v>42957.618854166663</v>
      </c>
      <c r="S48" s="108">
        <f>S47+(ckCodingTable[[#This Row],[ILN]]&lt;"M")</f>
        <v>28</v>
      </c>
      <c r="T48" s="21" t="s">
        <v>96</v>
      </c>
      <c r="U48" t="s">
        <v>1233</v>
      </c>
      <c r="V48" s="7" t="str">
        <f>HYPERLINK("https://www.ejacket.nsf.gov/ej/showProposal.do?ID="&amp;ckCodingTable[[#This Row],[prop_id]],"eJ")</f>
        <v>eJ</v>
      </c>
      <c r="W48" t="s">
        <v>742</v>
      </c>
      <c r="X48" t="s">
        <v>1233</v>
      </c>
      <c r="Y48" t="s">
        <v>1234</v>
      </c>
      <c r="Z48" t="s">
        <v>2197</v>
      </c>
      <c r="AA48" t="s">
        <v>2198</v>
      </c>
      <c r="AB48" s="113" t="str">
        <f>HYPERLINK("mailto:"&amp;ckCodingTable[[#This Row],[email]]&amp;"&amp;subject=Your NSF Proposal:  "&amp;ckCodingTable[[#This Row],[Div]]&amp;" "&amp;ckCodingTable[[#This Row],[prop_id]], ckCodingTable[[#This Row],[email]])</f>
        <v>sayan@stat.duke.edu</v>
      </c>
      <c r="AC48" s="30">
        <v>42917</v>
      </c>
      <c r="AD48">
        <v>36</v>
      </c>
      <c r="AE48">
        <v>1</v>
      </c>
      <c r="AG48" s="122"/>
      <c r="AH48" t="s">
        <v>2199</v>
      </c>
      <c r="AI48" s="26">
        <v>5.666666666666667</v>
      </c>
      <c r="AJ48" s="22">
        <v>42873.517361111109</v>
      </c>
      <c r="AK48" s="22">
        <v>3</v>
      </c>
      <c r="AL48">
        <v>3</v>
      </c>
      <c r="AN48" s="122"/>
      <c r="AO48" s="122"/>
      <c r="AP48" s="122"/>
      <c r="AQ48" s="122"/>
      <c r="AR48" s="123" t="str">
        <f>HYPERLINK("https://www.ejacket.nsf.gov/ej/showProposal.do?ID="&amp;ckCodingTable[[#This Row],[prop_id]],"eJ")</f>
        <v>eJ</v>
      </c>
      <c r="AS48" t="s">
        <v>1971</v>
      </c>
      <c r="AT48" t="s">
        <v>2200</v>
      </c>
      <c r="AU48" t="b">
        <f>IF(ckCodingTable[[#This Row],[ILN]]="N",SUBSTITUTE(AT47," ","")&lt;&gt;SUBSTITUTE(ckCodingTable[[#This Row],[prop_titl_txt]]," ",""), FALSE)</f>
        <v>0</v>
      </c>
      <c r="AV48">
        <v>0</v>
      </c>
      <c r="AW48" s="124">
        <v>1497550</v>
      </c>
      <c r="AX48" s="124">
        <v>1497550</v>
      </c>
      <c r="AY48" s="124"/>
      <c r="AZ48" s="124">
        <v>2000</v>
      </c>
      <c r="BA48" s="124">
        <v>228252</v>
      </c>
      <c r="BB48" s="124"/>
      <c r="BC48">
        <v>10</v>
      </c>
      <c r="BD48">
        <v>12</v>
      </c>
      <c r="BE48">
        <v>3</v>
      </c>
      <c r="BH48">
        <v>1</v>
      </c>
      <c r="BI48">
        <v>0</v>
      </c>
      <c r="BJ48">
        <v>0</v>
      </c>
      <c r="BK48">
        <v>0</v>
      </c>
      <c r="BL48" t="s">
        <v>2201</v>
      </c>
    </row>
    <row r="49" spans="1:64">
      <c r="A49" s="30">
        <v>42955.701689814814</v>
      </c>
      <c r="B49" s="30">
        <v>42809.654166666667</v>
      </c>
      <c r="C49" t="s">
        <v>1965</v>
      </c>
      <c r="D49" t="s">
        <v>741</v>
      </c>
      <c r="E49" t="s">
        <v>901</v>
      </c>
      <c r="F49" t="s">
        <v>1966</v>
      </c>
      <c r="G49" t="s">
        <v>170</v>
      </c>
      <c r="H49" s="21" t="s">
        <v>94</v>
      </c>
      <c r="I49" s="86">
        <v>1</v>
      </c>
      <c r="J49" s="86">
        <v>0</v>
      </c>
      <c r="K49" t="s">
        <v>1967</v>
      </c>
      <c r="L49" t="s">
        <v>942</v>
      </c>
      <c r="M49" t="s">
        <v>1988</v>
      </c>
      <c r="N49" t="str">
        <f>IF(SUM(ckCodingTable[[#This Row],[NfmlPIs]:[NnonWhtAsnPIs]])&gt;0,"WMD","")</f>
        <v>WMD</v>
      </c>
      <c r="O49" t="b">
        <f>_xlfn.XOR(IFERROR(MATCH(ckCodingTable[[#This Row],[st_code]],EpscorTable[],0)&gt;0,FALSE),IFERROR(FIND("9150",ckCodingTable[[#This Row],[propPRCs]])&gt;0,FALSE))</f>
        <v>1</v>
      </c>
      <c r="P49" s="21" t="b">
        <f>_xlfn.XOR(ckCodingTable[[#This Row],[wmd]]&lt;&gt;"",IFERROR(FIND("9102",ckCodingTable[[#This Row],[propPRCs]])&gt;0,FALSE))</f>
        <v>1</v>
      </c>
      <c r="Q49" t="s">
        <v>1995</v>
      </c>
      <c r="R49" s="22">
        <v>42954.395358796297</v>
      </c>
      <c r="S49" s="108">
        <f>S48+(ckCodingTable[[#This Row],[ILN]]&lt;"M")</f>
        <v>29</v>
      </c>
      <c r="T49" s="21" t="s">
        <v>96</v>
      </c>
      <c r="U49" t="s">
        <v>1241</v>
      </c>
      <c r="V49" s="7" t="str">
        <f>HYPERLINK("https://www.ejacket.nsf.gov/ej/showProposal.do?ID="&amp;ckCodingTable[[#This Row],[prop_id]],"eJ")</f>
        <v>eJ</v>
      </c>
      <c r="W49" t="s">
        <v>742</v>
      </c>
      <c r="X49" t="s">
        <v>1241</v>
      </c>
      <c r="Y49" t="s">
        <v>1242</v>
      </c>
      <c r="Z49" t="s">
        <v>2202</v>
      </c>
      <c r="AA49" t="s">
        <v>2203</v>
      </c>
      <c r="AB49" s="113" t="str">
        <f>HYPERLINK("mailto:"&amp;ckCodingTable[[#This Row],[email]]&amp;"&amp;subject=Your NSF Proposal:  "&amp;ckCodingTable[[#This Row],[Div]]&amp;" "&amp;ckCodingTable[[#This Row],[prop_id]], ckCodingTable[[#This Row],[email]])</f>
        <v>brendan.mumey@montana.edu</v>
      </c>
      <c r="AC49" s="30">
        <v>43101</v>
      </c>
      <c r="AD49">
        <v>36</v>
      </c>
      <c r="AE49">
        <v>1</v>
      </c>
      <c r="AG49" s="122"/>
      <c r="AH49" t="s">
        <v>2204</v>
      </c>
      <c r="AI49" s="26">
        <v>5.666666666666667</v>
      </c>
      <c r="AJ49" s="22">
        <v>42878.374305555553</v>
      </c>
      <c r="AL49">
        <v>3</v>
      </c>
      <c r="AN49" s="122"/>
      <c r="AO49" s="122"/>
      <c r="AP49" s="122"/>
      <c r="AQ49" s="122"/>
      <c r="AR49" s="123" t="str">
        <f>HYPERLINK("https://www.ejacket.nsf.gov/ej/showProposal.do?ID="&amp;ckCodingTable[[#This Row],[prop_id]],"eJ")</f>
        <v>eJ</v>
      </c>
      <c r="AS49" t="s">
        <v>1971</v>
      </c>
      <c r="AT49" t="s">
        <v>2205</v>
      </c>
      <c r="AU49" t="b">
        <f>IF(ckCodingTable[[#This Row],[ILN]]="N",SUBSTITUTE(AT48," ","")&lt;&gt;SUBSTITUTE(ckCodingTable[[#This Row],[prop_titl_txt]]," ",""), FALSE)</f>
        <v>0</v>
      </c>
      <c r="AV49">
        <v>1</v>
      </c>
      <c r="AW49" s="124">
        <v>1530999</v>
      </c>
      <c r="AX49" s="124">
        <v>1530172</v>
      </c>
      <c r="AY49" s="124"/>
      <c r="AZ49" s="124">
        <v>9000</v>
      </c>
      <c r="BA49" s="124">
        <v>145000</v>
      </c>
      <c r="BB49" s="124">
        <v>102400</v>
      </c>
      <c r="BC49">
        <v>12</v>
      </c>
      <c r="BD49">
        <v>15</v>
      </c>
      <c r="BG49">
        <v>25.9</v>
      </c>
      <c r="BH49">
        <v>2</v>
      </c>
      <c r="BI49">
        <v>0</v>
      </c>
      <c r="BJ49">
        <v>0</v>
      </c>
      <c r="BK49">
        <v>0</v>
      </c>
      <c r="BL49" t="s">
        <v>2206</v>
      </c>
    </row>
    <row r="50" spans="1:64">
      <c r="A50" s="30">
        <v>42934.47079861111</v>
      </c>
      <c r="B50" s="30">
        <v>42809.65902777778</v>
      </c>
      <c r="C50" t="s">
        <v>1965</v>
      </c>
      <c r="D50" t="s">
        <v>741</v>
      </c>
      <c r="E50" t="s">
        <v>901</v>
      </c>
      <c r="F50" t="s">
        <v>1966</v>
      </c>
      <c r="G50" t="s">
        <v>170</v>
      </c>
      <c r="H50" s="21" t="s">
        <v>94</v>
      </c>
      <c r="I50" s="86">
        <v>1</v>
      </c>
      <c r="J50" s="86">
        <v>0</v>
      </c>
      <c r="K50" t="s">
        <v>1967</v>
      </c>
      <c r="L50" t="s">
        <v>540</v>
      </c>
      <c r="M50" t="s">
        <v>2207</v>
      </c>
      <c r="N50" t="str">
        <f>IF(SUM(ckCodingTable[[#This Row],[NfmlPIs]:[NnonWhtAsnPIs]])&gt;0,"WMD","")</f>
        <v/>
      </c>
      <c r="O50" t="b">
        <f>_xlfn.XOR(IFERROR(MATCH(ckCodingTable[[#This Row],[st_code]],EpscorTable[],0)&gt;0,FALSE),IFERROR(FIND("9150",ckCodingTable[[#This Row],[propPRCs]])&gt;0,FALSE))</f>
        <v>0</v>
      </c>
      <c r="P50" s="21" t="b">
        <f>_xlfn.XOR(ckCodingTable[[#This Row],[wmd]]&lt;&gt;"",IFERROR(FIND("9102",ckCodingTable[[#This Row],[propPRCs]])&gt;0,FALSE))</f>
        <v>0</v>
      </c>
      <c r="Q50" t="s">
        <v>1968</v>
      </c>
      <c r="R50" s="22">
        <v>42920.123148148145</v>
      </c>
      <c r="S50" s="108">
        <f>S49+(ckCodingTable[[#This Row],[ILN]]&lt;"M")</f>
        <v>30</v>
      </c>
      <c r="T50" s="21" t="s">
        <v>96</v>
      </c>
      <c r="U50" t="s">
        <v>1248</v>
      </c>
      <c r="V50" s="7" t="str">
        <f>HYPERLINK("https://www.ejacket.nsf.gov/ej/showProposal.do?ID="&amp;ckCodingTable[[#This Row],[prop_id]],"eJ")</f>
        <v>eJ</v>
      </c>
      <c r="W50" t="s">
        <v>742</v>
      </c>
      <c r="X50" t="s">
        <v>1248</v>
      </c>
      <c r="Y50" t="s">
        <v>1249</v>
      </c>
      <c r="Z50" t="s">
        <v>2208</v>
      </c>
      <c r="AA50" t="s">
        <v>2209</v>
      </c>
      <c r="AB50" s="113" t="str">
        <f>HYPERLINK("mailto:"&amp;ckCodingTable[[#This Row],[email]]&amp;"&amp;subject=Your NSF Proposal:  "&amp;ckCodingTable[[#This Row],[Div]]&amp;" "&amp;ckCodingTable[[#This Row],[prop_id]], ckCodingTable[[#This Row],[email]])</f>
        <v>eabbe@princeton.edu</v>
      </c>
      <c r="AC50" s="30">
        <v>42979</v>
      </c>
      <c r="AD50">
        <v>36</v>
      </c>
      <c r="AE50">
        <v>1</v>
      </c>
      <c r="AG50" s="122"/>
      <c r="AH50" t="s">
        <v>2104</v>
      </c>
      <c r="AI50" s="26">
        <v>7</v>
      </c>
      <c r="AJ50" s="22">
        <v>42872.395833333336</v>
      </c>
      <c r="AL50">
        <v>3</v>
      </c>
      <c r="AN50" s="122"/>
      <c r="AO50" s="122"/>
      <c r="AP50" s="122"/>
      <c r="AQ50" s="122"/>
      <c r="AR50" s="123" t="str">
        <f>HYPERLINK("https://www.ejacket.nsf.gov/ej/showProposal.do?ID="&amp;ckCodingTable[[#This Row],[prop_id]],"eJ")</f>
        <v>eJ</v>
      </c>
      <c r="AS50" t="s">
        <v>1971</v>
      </c>
      <c r="AT50" t="s">
        <v>2210</v>
      </c>
      <c r="AU50" t="b">
        <f>IF(ckCodingTable[[#This Row],[ILN]]="N",SUBSTITUTE(AT49," ","")&lt;&gt;SUBSTITUTE(ckCodingTable[[#This Row],[prop_titl_txt]]," ",""), FALSE)</f>
        <v>0</v>
      </c>
      <c r="AV50">
        <v>0</v>
      </c>
      <c r="AW50" s="124">
        <v>1500000</v>
      </c>
      <c r="AX50" s="124">
        <v>1500000</v>
      </c>
      <c r="AY50" s="124"/>
      <c r="AZ50" s="124">
        <v>22284</v>
      </c>
      <c r="BA50" s="124">
        <v>339999</v>
      </c>
      <c r="BB50" s="124"/>
      <c r="BC50">
        <v>9</v>
      </c>
      <c r="BH50">
        <v>0</v>
      </c>
      <c r="BI50">
        <v>0</v>
      </c>
      <c r="BJ50">
        <v>0</v>
      </c>
      <c r="BK50">
        <v>0</v>
      </c>
      <c r="BL50" t="s">
        <v>2211</v>
      </c>
    </row>
    <row r="51" spans="1:64">
      <c r="A51" s="30">
        <v>42955.657233796293</v>
      </c>
      <c r="B51" s="30">
        <v>42809.661111111112</v>
      </c>
      <c r="C51" t="s">
        <v>1965</v>
      </c>
      <c r="D51" t="s">
        <v>741</v>
      </c>
      <c r="E51" t="s">
        <v>901</v>
      </c>
      <c r="F51" t="s">
        <v>1966</v>
      </c>
      <c r="G51" t="s">
        <v>170</v>
      </c>
      <c r="H51" s="21" t="s">
        <v>94</v>
      </c>
      <c r="I51" s="86">
        <v>1</v>
      </c>
      <c r="J51" s="86">
        <v>0</v>
      </c>
      <c r="K51" t="s">
        <v>1967</v>
      </c>
      <c r="L51" t="s">
        <v>948</v>
      </c>
      <c r="M51" t="s">
        <v>2212</v>
      </c>
      <c r="N51" t="str">
        <f>IF(SUM(ckCodingTable[[#This Row],[NfmlPIs]:[NnonWhtAsnPIs]])&gt;0,"WMD","")</f>
        <v>WMD</v>
      </c>
      <c r="O51" t="b">
        <f>_xlfn.XOR(IFERROR(MATCH(ckCodingTable[[#This Row],[st_code]],EpscorTable[],0)&gt;0,FALSE),IFERROR(FIND("9150",ckCodingTable[[#This Row],[propPRCs]])&gt;0,FALSE))</f>
        <v>0</v>
      </c>
      <c r="P51" s="21" t="b">
        <f>_xlfn.XOR(ckCodingTable[[#This Row],[wmd]]&lt;&gt;"",IFERROR(FIND("9102",ckCodingTable[[#This Row],[propPRCs]])&gt;0,FALSE))</f>
        <v>0</v>
      </c>
      <c r="Q51" t="s">
        <v>2007</v>
      </c>
      <c r="R51" s="22">
        <v>42955.43986111111</v>
      </c>
      <c r="S51" s="108">
        <f>S50+(ckCodingTable[[#This Row],[ILN]]&lt;"M")</f>
        <v>31</v>
      </c>
      <c r="T51" s="21" t="s">
        <v>96</v>
      </c>
      <c r="U51" t="s">
        <v>1256</v>
      </c>
      <c r="V51" s="7" t="str">
        <f>HYPERLINK("https://www.ejacket.nsf.gov/ej/showProposal.do?ID="&amp;ckCodingTable[[#This Row],[prop_id]],"eJ")</f>
        <v>eJ</v>
      </c>
      <c r="W51" t="s">
        <v>742</v>
      </c>
      <c r="X51" t="s">
        <v>1256</v>
      </c>
      <c r="Y51" t="s">
        <v>1257</v>
      </c>
      <c r="Z51" t="s">
        <v>2213</v>
      </c>
      <c r="AA51" t="s">
        <v>2214</v>
      </c>
      <c r="AB51" s="113" t="str">
        <f>HYPERLINK("mailto:"&amp;ckCodingTable[[#This Row],[email]]&amp;"&amp;subject=Your NSF Proposal:  "&amp;ckCodingTable[[#This Row],[Div]]&amp;" "&amp;ckCodingTable[[#This Row],[prop_id]], ckCodingTable[[#This Row],[email]])</f>
        <v>lerman@umn.edu</v>
      </c>
      <c r="AC51" s="30">
        <v>42979</v>
      </c>
      <c r="AD51">
        <v>36</v>
      </c>
      <c r="AE51">
        <v>1</v>
      </c>
      <c r="AG51" s="122"/>
      <c r="AH51" t="s">
        <v>818</v>
      </c>
      <c r="AI51" s="26">
        <v>6.333333333333333</v>
      </c>
      <c r="AJ51" s="22">
        <v>42877.636805555558</v>
      </c>
      <c r="AK51" s="22">
        <v>1</v>
      </c>
      <c r="AL51">
        <v>3</v>
      </c>
      <c r="AN51" s="122"/>
      <c r="AO51" s="122"/>
      <c r="AP51" s="122"/>
      <c r="AQ51" s="122"/>
      <c r="AR51" s="123" t="str">
        <f>HYPERLINK("https://www.ejacket.nsf.gov/ej/showProposal.do?ID="&amp;ckCodingTable[[#This Row],[prop_id]],"eJ")</f>
        <v>eJ</v>
      </c>
      <c r="AS51" t="s">
        <v>1971</v>
      </c>
      <c r="AT51" t="s">
        <v>2215</v>
      </c>
      <c r="AU51" t="b">
        <f>IF(ckCodingTable[[#This Row],[ILN]]="N",SUBSTITUTE(AT50," ","")&lt;&gt;SUBSTITUTE(ckCodingTable[[#This Row],[prop_titl_txt]]," ",""), FALSE)</f>
        <v>0</v>
      </c>
      <c r="AV51">
        <v>0</v>
      </c>
      <c r="AW51" s="124">
        <v>1500000</v>
      </c>
      <c r="AX51" s="124">
        <v>1500000</v>
      </c>
      <c r="AY51" s="124"/>
      <c r="AZ51" s="124"/>
      <c r="BA51" s="124">
        <v>203863</v>
      </c>
      <c r="BB51" s="124">
        <v>311114</v>
      </c>
      <c r="BC51">
        <v>6</v>
      </c>
      <c r="BD51">
        <v>15</v>
      </c>
      <c r="BE51">
        <v>15</v>
      </c>
      <c r="BH51">
        <v>2</v>
      </c>
      <c r="BI51">
        <v>0</v>
      </c>
      <c r="BJ51">
        <v>0</v>
      </c>
      <c r="BK51">
        <v>0</v>
      </c>
      <c r="BL51" t="s">
        <v>2216</v>
      </c>
    </row>
    <row r="52" spans="1:64">
      <c r="A52" s="30">
        <v>42956.380891203706</v>
      </c>
      <c r="B52" s="30">
        <v>42809.663888888892</v>
      </c>
      <c r="C52" t="s">
        <v>1965</v>
      </c>
      <c r="D52" t="s">
        <v>741</v>
      </c>
      <c r="E52" t="s">
        <v>901</v>
      </c>
      <c r="F52" t="s">
        <v>1966</v>
      </c>
      <c r="G52" t="s">
        <v>170</v>
      </c>
      <c r="H52" s="21" t="s">
        <v>94</v>
      </c>
      <c r="I52" s="86">
        <v>1</v>
      </c>
      <c r="J52" s="86">
        <v>0</v>
      </c>
      <c r="K52" t="s">
        <v>1967</v>
      </c>
      <c r="L52" t="s">
        <v>543</v>
      </c>
      <c r="M52" t="s">
        <v>257</v>
      </c>
      <c r="N52" t="str">
        <f>IF(SUM(ckCodingTable[[#This Row],[NfmlPIs]:[NnonWhtAsnPIs]])&gt;0,"WMD","")</f>
        <v/>
      </c>
      <c r="O52" t="b">
        <f>_xlfn.XOR(IFERROR(MATCH(ckCodingTable[[#This Row],[st_code]],EpscorTable[],0)&gt;0,FALSE),IFERROR(FIND("9150",ckCodingTable[[#This Row],[propPRCs]])&gt;0,FALSE))</f>
        <v>0</v>
      </c>
      <c r="P52" s="21" t="b">
        <f>_xlfn.XOR(ckCodingTable[[#This Row],[wmd]]&lt;&gt;"",IFERROR(FIND("9102",ckCodingTable[[#This Row],[propPRCs]])&gt;0,FALSE))</f>
        <v>0</v>
      </c>
      <c r="Q52" t="s">
        <v>1968</v>
      </c>
      <c r="R52" s="22">
        <v>42951.594155092593</v>
      </c>
      <c r="S52" s="108">
        <f>S51+(ckCodingTable[[#This Row],[ILN]]&lt;"M")</f>
        <v>32</v>
      </c>
      <c r="T52" s="21" t="s">
        <v>96</v>
      </c>
      <c r="U52" t="s">
        <v>1264</v>
      </c>
      <c r="V52" s="7" t="str">
        <f>HYPERLINK("https://www.ejacket.nsf.gov/ej/showProposal.do?ID="&amp;ckCodingTable[[#This Row],[prop_id]],"eJ")</f>
        <v>eJ</v>
      </c>
      <c r="W52" t="s">
        <v>742</v>
      </c>
      <c r="X52" t="s">
        <v>1264</v>
      </c>
      <c r="Y52" t="s">
        <v>1265</v>
      </c>
      <c r="Z52" t="s">
        <v>1969</v>
      </c>
      <c r="AA52" t="s">
        <v>2217</v>
      </c>
      <c r="AB52" s="113" t="str">
        <f>HYPERLINK("mailto:"&amp;ckCodingTable[[#This Row],[email]]&amp;"&amp;subject=Your NSF Proposal:  "&amp;ckCodingTable[[#This Row],[Div]]&amp;" "&amp;ckCodingTable[[#This Row],[prop_id]], ckCodingTable[[#This Row],[email]])</f>
        <v>michaelm@eecs.harvard.edu</v>
      </c>
      <c r="AC52" s="30">
        <v>43101</v>
      </c>
      <c r="AD52">
        <v>36</v>
      </c>
      <c r="AE52">
        <v>1</v>
      </c>
      <c r="AG52" s="122"/>
      <c r="AH52" t="s">
        <v>2218</v>
      </c>
      <c r="AI52" s="26">
        <v>4.333333333333333</v>
      </c>
      <c r="AJ52" s="22">
        <v>42872.452777777777</v>
      </c>
      <c r="AK52" s="22">
        <v>1</v>
      </c>
      <c r="AL52">
        <v>3</v>
      </c>
      <c r="AN52" s="122"/>
      <c r="AO52" s="122"/>
      <c r="AP52" s="122"/>
      <c r="AQ52" s="122"/>
      <c r="AR52" s="123" t="str">
        <f>HYPERLINK("https://www.ejacket.nsf.gov/ej/showProposal.do?ID="&amp;ckCodingTable[[#This Row],[prop_id]],"eJ")</f>
        <v>eJ</v>
      </c>
      <c r="AS52" t="s">
        <v>1971</v>
      </c>
      <c r="AT52" t="s">
        <v>2219</v>
      </c>
      <c r="AU52" t="b">
        <f>IF(ckCodingTable[[#This Row],[ILN]]="N",SUBSTITUTE(AT51," ","")&lt;&gt;SUBSTITUTE(ckCodingTable[[#This Row],[prop_titl_txt]]," ",""), FALSE)</f>
        <v>0</v>
      </c>
      <c r="AV52">
        <v>0</v>
      </c>
      <c r="AW52" s="124">
        <v>1500000</v>
      </c>
      <c r="AX52" s="124">
        <v>1500000</v>
      </c>
      <c r="AY52" s="124"/>
      <c r="AZ52" s="124"/>
      <c r="BA52" s="124">
        <v>481201</v>
      </c>
      <c r="BB52" s="124"/>
      <c r="BC52">
        <v>2</v>
      </c>
      <c r="BD52">
        <v>8</v>
      </c>
      <c r="BG52">
        <v>4</v>
      </c>
      <c r="BH52">
        <v>0</v>
      </c>
      <c r="BI52">
        <v>0</v>
      </c>
      <c r="BJ52">
        <v>0</v>
      </c>
      <c r="BK52">
        <v>0</v>
      </c>
      <c r="BL52" t="s">
        <v>2220</v>
      </c>
    </row>
    <row r="53" spans="1:64">
      <c r="A53" s="30">
        <v>42955.728993055556</v>
      </c>
      <c r="B53" s="30">
        <v>42809.663888888892</v>
      </c>
      <c r="C53" t="s">
        <v>1965</v>
      </c>
      <c r="D53" t="s">
        <v>741</v>
      </c>
      <c r="E53" t="s">
        <v>901</v>
      </c>
      <c r="F53" t="s">
        <v>1966</v>
      </c>
      <c r="G53" t="s">
        <v>170</v>
      </c>
      <c r="H53" s="21" t="s">
        <v>94</v>
      </c>
      <c r="I53" s="86">
        <v>1</v>
      </c>
      <c r="J53" s="86">
        <v>0</v>
      </c>
      <c r="K53" t="s">
        <v>1967</v>
      </c>
      <c r="L53" t="s">
        <v>540</v>
      </c>
      <c r="M53" t="s">
        <v>258</v>
      </c>
      <c r="N53" t="str">
        <f>IF(SUM(ckCodingTable[[#This Row],[NfmlPIs]:[NnonWhtAsnPIs]])&gt;0,"WMD","")</f>
        <v/>
      </c>
      <c r="O53" t="b">
        <f>_xlfn.XOR(IFERROR(MATCH(ckCodingTable[[#This Row],[st_code]],EpscorTable[],0)&gt;0,FALSE),IFERROR(FIND("9150",ckCodingTable[[#This Row],[propPRCs]])&gt;0,FALSE))</f>
        <v>0</v>
      </c>
      <c r="P53" s="21" t="b">
        <f>_xlfn.XOR(ckCodingTable[[#This Row],[wmd]]&lt;&gt;"",IFERROR(FIND("9102",ckCodingTable[[#This Row],[propPRCs]])&gt;0,FALSE))</f>
        <v>0</v>
      </c>
      <c r="Q53" t="s">
        <v>1968</v>
      </c>
      <c r="R53" s="22">
        <v>42914.640648148146</v>
      </c>
      <c r="S53" s="108">
        <f>S52+(ckCodingTable[[#This Row],[ILN]]&lt;"M")</f>
        <v>33</v>
      </c>
      <c r="T53" s="21" t="s">
        <v>1981</v>
      </c>
      <c r="U53" t="s">
        <v>1271</v>
      </c>
      <c r="V53" s="7" t="str">
        <f>HYPERLINK("https://www.ejacket.nsf.gov/ej/showProposal.do?ID="&amp;ckCodingTable[[#This Row],[prop_id]],"eJ")</f>
        <v>eJ</v>
      </c>
      <c r="W53" t="s">
        <v>742</v>
      </c>
      <c r="X53" t="s">
        <v>1271</v>
      </c>
      <c r="Y53" t="s">
        <v>1272</v>
      </c>
      <c r="Z53" t="s">
        <v>2221</v>
      </c>
      <c r="AA53" t="s">
        <v>2222</v>
      </c>
      <c r="AB53" s="113" t="str">
        <f>HYPERLINK("mailto:"&amp;ckCodingTable[[#This Row],[email]]&amp;"&amp;subject=Your NSF Proposal:  "&amp;ckCodingTable[[#This Row],[Div]]&amp;" "&amp;ckCodingTable[[#This Row],[prop_id]], ckCodingTable[[#This Row],[email]])</f>
        <v>mishra@cs.nyu.edu</v>
      </c>
      <c r="AC53" s="30">
        <v>42979</v>
      </c>
      <c r="AD53">
        <v>36</v>
      </c>
      <c r="AE53">
        <v>1</v>
      </c>
      <c r="AF53">
        <v>1</v>
      </c>
      <c r="AG53" s="122"/>
      <c r="AH53" t="s">
        <v>2223</v>
      </c>
      <c r="AI53" s="26">
        <v>3</v>
      </c>
      <c r="AJ53" s="22">
        <v>42872.489583333336</v>
      </c>
      <c r="AL53">
        <v>3</v>
      </c>
      <c r="AN53" s="122"/>
      <c r="AO53" s="122"/>
      <c r="AP53" s="122"/>
      <c r="AQ53" s="122"/>
      <c r="AR53" s="123" t="str">
        <f>HYPERLINK("https://www.ejacket.nsf.gov/ej/showProposal.do?ID="&amp;ckCodingTable[[#This Row],[prop_id]],"eJ")</f>
        <v>eJ</v>
      </c>
      <c r="AS53" t="s">
        <v>1971</v>
      </c>
      <c r="AT53" t="s">
        <v>2224</v>
      </c>
      <c r="AU53" t="b">
        <f>IF(ckCodingTable[[#This Row],[ILN]]="N",SUBSTITUTE(AT52," ","")&lt;&gt;SUBSTITUTE(ckCodingTable[[#This Row],[prop_titl_txt]]," ",""), FALSE)</f>
        <v>0</v>
      </c>
      <c r="AV53">
        <v>0</v>
      </c>
      <c r="AW53" s="124">
        <v>1050000</v>
      </c>
      <c r="AX53" s="124">
        <v>1050000</v>
      </c>
      <c r="AY53" s="124"/>
      <c r="AZ53" s="124">
        <v>11969</v>
      </c>
      <c r="BA53" s="124">
        <v>204914</v>
      </c>
      <c r="BB53" s="124"/>
      <c r="BC53">
        <v>11</v>
      </c>
      <c r="BD53">
        <v>6</v>
      </c>
      <c r="BE53">
        <v>6</v>
      </c>
      <c r="BH53">
        <v>0</v>
      </c>
      <c r="BI53">
        <v>0</v>
      </c>
      <c r="BJ53">
        <v>0</v>
      </c>
      <c r="BK53">
        <v>0</v>
      </c>
      <c r="BL53" t="s">
        <v>2225</v>
      </c>
    </row>
    <row r="54" spans="1:64">
      <c r="A54" s="30">
        <v>42955.728993055556</v>
      </c>
      <c r="B54" s="30">
        <v>42809.627083333333</v>
      </c>
      <c r="C54" t="s">
        <v>1965</v>
      </c>
      <c r="D54" t="s">
        <v>741</v>
      </c>
      <c r="E54" t="s">
        <v>901</v>
      </c>
      <c r="F54" t="s">
        <v>1966</v>
      </c>
      <c r="G54" t="s">
        <v>170</v>
      </c>
      <c r="H54" s="21" t="s">
        <v>94</v>
      </c>
      <c r="I54" s="86">
        <v>1</v>
      </c>
      <c r="J54" s="86">
        <v>0</v>
      </c>
      <c r="K54" t="s">
        <v>1967</v>
      </c>
      <c r="L54" t="s">
        <v>540</v>
      </c>
      <c r="M54" t="s">
        <v>257</v>
      </c>
      <c r="N54" t="str">
        <f>IF(SUM(ckCodingTable[[#This Row],[NfmlPIs]:[NnonWhtAsnPIs]])&gt;0,"WMD","")</f>
        <v/>
      </c>
      <c r="O54" t="b">
        <f>_xlfn.XOR(IFERROR(MATCH(ckCodingTable[[#This Row],[st_code]],EpscorTable[],0)&gt;0,FALSE),IFERROR(FIND("9150",ckCodingTable[[#This Row],[propPRCs]])&gt;0,FALSE))</f>
        <v>0</v>
      </c>
      <c r="P54" s="21" t="b">
        <f>_xlfn.XOR(ckCodingTable[[#This Row],[wmd]]&lt;&gt;"",IFERROR(FIND("9102",ckCodingTable[[#This Row],[propPRCs]])&gt;0,FALSE))</f>
        <v>0</v>
      </c>
      <c r="Q54" t="s">
        <v>1968</v>
      </c>
      <c r="R54" s="22">
        <v>42914.640648148146</v>
      </c>
      <c r="S54" s="108">
        <f>S53+(ckCodingTable[[#This Row],[ILN]]&lt;"M")</f>
        <v>33</v>
      </c>
      <c r="T54" s="21" t="s">
        <v>1989</v>
      </c>
      <c r="U54" t="s">
        <v>1271</v>
      </c>
      <c r="V54" s="7" t="str">
        <f>HYPERLINK("https://www.ejacket.nsf.gov/ej/showProposal.do?ID="&amp;ckCodingTable[[#This Row],[prop_id]],"eJ")</f>
        <v>eJ</v>
      </c>
      <c r="W54" t="s">
        <v>742</v>
      </c>
      <c r="X54" t="s">
        <v>2226</v>
      </c>
      <c r="Y54" t="s">
        <v>2227</v>
      </c>
      <c r="Z54" t="s">
        <v>2228</v>
      </c>
      <c r="AA54" t="s">
        <v>775</v>
      </c>
      <c r="AB54" s="113" t="str">
        <f>HYPERLINK("mailto:"&amp;ckCodingTable[[#This Row],[email]]&amp;"&amp;subject=Your NSF Proposal:  "&amp;ckCodingTable[[#This Row],[Div]]&amp;" "&amp;ckCodingTable[[#This Row],[prop_id]], ckCodingTable[[#This Row],[email]])</f>
        <v>mitter@mit.edu</v>
      </c>
      <c r="AC54" s="30">
        <v>42979</v>
      </c>
      <c r="AD54">
        <v>36</v>
      </c>
      <c r="AG54" s="122"/>
      <c r="AI54" s="26"/>
      <c r="AJ54" s="22"/>
      <c r="AN54" s="122"/>
      <c r="AO54" s="122"/>
      <c r="AP54" s="122"/>
      <c r="AQ54" s="122"/>
      <c r="AR54" s="123" t="str">
        <f>HYPERLINK("https://www.ejacket.nsf.gov/ej/showProposal.do?ID="&amp;ckCodingTable[[#This Row],[prop_id]],"eJ")</f>
        <v>eJ</v>
      </c>
      <c r="AS54" t="s">
        <v>1971</v>
      </c>
      <c r="AT54" t="s">
        <v>2224</v>
      </c>
      <c r="AU54" t="b">
        <f>IF(ckCodingTable[[#This Row],[ILN]]="N",SUBSTITUTE(AT53," ","")&lt;&gt;SUBSTITUTE(ckCodingTable[[#This Row],[prop_titl_txt]]," ",""), FALSE)</f>
        <v>0</v>
      </c>
      <c r="AV54">
        <v>0</v>
      </c>
      <c r="AW54" s="124">
        <v>450000</v>
      </c>
      <c r="AX54" s="124">
        <v>450000</v>
      </c>
      <c r="AY54" s="124"/>
      <c r="AZ54" s="124">
        <v>12000</v>
      </c>
      <c r="BA54" s="124">
        <v>134870</v>
      </c>
      <c r="BB54" s="124"/>
      <c r="BD54">
        <v>3</v>
      </c>
      <c r="BE54">
        <v>3</v>
      </c>
      <c r="BH54">
        <v>0</v>
      </c>
      <c r="BI54">
        <v>0</v>
      </c>
      <c r="BJ54">
        <v>0</v>
      </c>
      <c r="BK54">
        <v>0</v>
      </c>
      <c r="BL54" t="s">
        <v>2229</v>
      </c>
    </row>
    <row r="55" spans="1:64">
      <c r="A55" s="30">
        <v>42955.702997685185</v>
      </c>
      <c r="B55" s="30">
        <v>42809.665972222225</v>
      </c>
      <c r="C55" t="s">
        <v>1965</v>
      </c>
      <c r="D55" t="s">
        <v>741</v>
      </c>
      <c r="E55" t="s">
        <v>901</v>
      </c>
      <c r="F55" t="s">
        <v>1966</v>
      </c>
      <c r="G55" t="s">
        <v>170</v>
      </c>
      <c r="H55" s="21" t="s">
        <v>94</v>
      </c>
      <c r="I55" s="86">
        <v>1</v>
      </c>
      <c r="J55" s="86">
        <v>0</v>
      </c>
      <c r="K55" t="s">
        <v>1967</v>
      </c>
      <c r="L55" t="s">
        <v>540</v>
      </c>
      <c r="M55" t="s">
        <v>120</v>
      </c>
      <c r="N55" t="str">
        <f>IF(SUM(ckCodingTable[[#This Row],[NfmlPIs]:[NnonWhtAsnPIs]])&gt;0,"WMD","")</f>
        <v>WMD</v>
      </c>
      <c r="O55" t="b">
        <f>_xlfn.XOR(IFERROR(MATCH(ckCodingTable[[#This Row],[st_code]],EpscorTable[],0)&gt;0,FALSE),IFERROR(FIND("9150",ckCodingTable[[#This Row],[propPRCs]])&gt;0,FALSE))</f>
        <v>0</v>
      </c>
      <c r="P55" s="21" t="b">
        <f>_xlfn.XOR(ckCodingTable[[#This Row],[wmd]]&lt;&gt;"",IFERROR(FIND("9102",ckCodingTable[[#This Row],[propPRCs]])&gt;0,FALSE))</f>
        <v>0</v>
      </c>
      <c r="Q55" t="s">
        <v>1987</v>
      </c>
      <c r="R55" s="22">
        <v>42954.60597222222</v>
      </c>
      <c r="S55" s="108">
        <f>S54+(ckCodingTable[[#This Row],[ILN]]&lt;"M")</f>
        <v>34</v>
      </c>
      <c r="T55" s="21" t="s">
        <v>96</v>
      </c>
      <c r="U55" t="s">
        <v>1278</v>
      </c>
      <c r="V55" s="7" t="str">
        <f>HYPERLINK("https://www.ejacket.nsf.gov/ej/showProposal.do?ID="&amp;ckCodingTable[[#This Row],[prop_id]],"eJ")</f>
        <v>eJ</v>
      </c>
      <c r="W55" t="s">
        <v>742</v>
      </c>
      <c r="X55" t="s">
        <v>1278</v>
      </c>
      <c r="Y55" t="s">
        <v>1279</v>
      </c>
      <c r="Z55" t="s">
        <v>798</v>
      </c>
      <c r="AA55" t="s">
        <v>2230</v>
      </c>
      <c r="AB55" s="113" t="str">
        <f>HYPERLINK("mailto:"&amp;ckCodingTable[[#This Row],[email]]&amp;"&amp;subject=Your NSF Proposal:  "&amp;ckCodingTable[[#This Row],[Div]]&amp;" "&amp;ckCodingTable[[#This Row],[prop_id]], ckCodingTable[[#This Row],[email]])</f>
        <v>andersonpe2@cofc.edu</v>
      </c>
      <c r="AC55" s="30">
        <v>43070</v>
      </c>
      <c r="AD55">
        <v>36</v>
      </c>
      <c r="AE55">
        <v>1</v>
      </c>
      <c r="AF55">
        <v>1</v>
      </c>
      <c r="AG55" s="122"/>
      <c r="AH55" t="s">
        <v>2231</v>
      </c>
      <c r="AI55" s="26">
        <v>3</v>
      </c>
      <c r="AJ55" s="22">
        <v>42867.839583333334</v>
      </c>
      <c r="AL55">
        <v>3</v>
      </c>
      <c r="AN55" s="122"/>
      <c r="AO55" s="122"/>
      <c r="AP55" s="122"/>
      <c r="AQ55" s="122"/>
      <c r="AR55" s="123" t="str">
        <f>HYPERLINK("https://www.ejacket.nsf.gov/ej/showProposal.do?ID="&amp;ckCodingTable[[#This Row],[prop_id]],"eJ")</f>
        <v>eJ</v>
      </c>
      <c r="AS55" t="s">
        <v>1971</v>
      </c>
      <c r="AT55" t="s">
        <v>2232</v>
      </c>
      <c r="AU55" t="b">
        <f>IF(ckCodingTable[[#This Row],[ILN]]="N",SUBSTITUTE(AT54," ","")&lt;&gt;SUBSTITUTE(ckCodingTable[[#This Row],[prop_titl_txt]]," ",""), FALSE)</f>
        <v>0</v>
      </c>
      <c r="AV55">
        <v>0</v>
      </c>
      <c r="AW55" s="124">
        <v>1500000</v>
      </c>
      <c r="AX55" s="124">
        <v>1500000</v>
      </c>
      <c r="AY55" s="124"/>
      <c r="AZ55" s="124">
        <v>2490</v>
      </c>
      <c r="BA55" s="124"/>
      <c r="BB55" s="124">
        <v>54825</v>
      </c>
      <c r="BD55">
        <v>15</v>
      </c>
      <c r="BE55">
        <v>24</v>
      </c>
      <c r="BF55">
        <v>27.03</v>
      </c>
      <c r="BH55">
        <v>3</v>
      </c>
      <c r="BI55">
        <v>0</v>
      </c>
      <c r="BJ55">
        <v>0</v>
      </c>
      <c r="BK55">
        <v>0</v>
      </c>
      <c r="BL55" t="s">
        <v>2233</v>
      </c>
    </row>
    <row r="56" spans="1:64">
      <c r="A56" s="30">
        <v>42955.660231481481</v>
      </c>
      <c r="B56" s="30">
        <v>42809.670138888891</v>
      </c>
      <c r="C56" t="s">
        <v>1965</v>
      </c>
      <c r="D56" t="s">
        <v>741</v>
      </c>
      <c r="E56" t="s">
        <v>901</v>
      </c>
      <c r="F56" t="s">
        <v>1966</v>
      </c>
      <c r="G56" t="s">
        <v>170</v>
      </c>
      <c r="H56" s="21" t="s">
        <v>94</v>
      </c>
      <c r="I56" s="86">
        <v>1</v>
      </c>
      <c r="J56" s="86">
        <v>0</v>
      </c>
      <c r="K56" t="s">
        <v>1967</v>
      </c>
      <c r="L56" t="s">
        <v>948</v>
      </c>
      <c r="M56" t="s">
        <v>256</v>
      </c>
      <c r="N56" t="str">
        <f>IF(SUM(ckCodingTable[[#This Row],[NfmlPIs]:[NnonWhtAsnPIs]])&gt;0,"WMD","")</f>
        <v>WMD</v>
      </c>
      <c r="O56" t="b">
        <f>_xlfn.XOR(IFERROR(MATCH(ckCodingTable[[#This Row],[st_code]],EpscorTable[],0)&gt;0,FALSE),IFERROR(FIND("9150",ckCodingTable[[#This Row],[propPRCs]])&gt;0,FALSE))</f>
        <v>0</v>
      </c>
      <c r="P56" s="21" t="b">
        <f>_xlfn.XOR(ckCodingTable[[#This Row],[wmd]]&lt;&gt;"",IFERROR(FIND("9102",ckCodingTable[[#This Row],[propPRCs]])&gt;0,FALSE))</f>
        <v>0</v>
      </c>
      <c r="Q56" t="s">
        <v>2007</v>
      </c>
      <c r="R56" s="22">
        <v>42955.477002314816</v>
      </c>
      <c r="S56" s="108">
        <f>S55+(ckCodingTable[[#This Row],[ILN]]&lt;"M")</f>
        <v>35</v>
      </c>
      <c r="T56" s="21" t="s">
        <v>96</v>
      </c>
      <c r="U56" t="s">
        <v>1285</v>
      </c>
      <c r="V56" s="7" t="str">
        <f>HYPERLINK("https://www.ejacket.nsf.gov/ej/showProposal.do?ID="&amp;ckCodingTable[[#This Row],[prop_id]],"eJ")</f>
        <v>eJ</v>
      </c>
      <c r="W56" t="s">
        <v>742</v>
      </c>
      <c r="X56" t="s">
        <v>1285</v>
      </c>
      <c r="Y56" t="s">
        <v>1286</v>
      </c>
      <c r="Z56" t="s">
        <v>2234</v>
      </c>
      <c r="AA56" t="s">
        <v>2235</v>
      </c>
      <c r="AB56" s="113" t="str">
        <f>HYPERLINK("mailto:"&amp;ckCodingTable[[#This Row],[email]]&amp;"&amp;subject=Your NSF Proposal:  "&amp;ckCodingTable[[#This Row],[Div]]&amp;" "&amp;ckCodingTable[[#This Row],[prop_id]], ckCodingTable[[#This Row],[email]])</f>
        <v>jiang@wald.ucdavis.edu</v>
      </c>
      <c r="AC56" s="30">
        <v>43009</v>
      </c>
      <c r="AD56">
        <v>36</v>
      </c>
      <c r="AE56">
        <v>1</v>
      </c>
      <c r="AF56">
        <v>1</v>
      </c>
      <c r="AG56" s="122"/>
      <c r="AH56" t="s">
        <v>2236</v>
      </c>
      <c r="AI56" s="26">
        <v>4</v>
      </c>
      <c r="AJ56" s="22">
        <v>42877.296527777777</v>
      </c>
      <c r="AL56">
        <v>3</v>
      </c>
      <c r="AN56" s="122"/>
      <c r="AO56" s="122"/>
      <c r="AP56" s="122"/>
      <c r="AQ56" s="122"/>
      <c r="AR56" s="123" t="str">
        <f>HYPERLINK("https://www.ejacket.nsf.gov/ej/showProposal.do?ID="&amp;ckCodingTable[[#This Row],[prop_id]],"eJ")</f>
        <v>eJ</v>
      </c>
      <c r="AS56" t="s">
        <v>1971</v>
      </c>
      <c r="AT56" t="s">
        <v>2237</v>
      </c>
      <c r="AU56" t="b">
        <f>IF(ckCodingTable[[#This Row],[ILN]]="N",SUBSTITUTE(AT55," ","")&lt;&gt;SUBSTITUTE(ckCodingTable[[#This Row],[prop_titl_txt]]," ",""), FALSE)</f>
        <v>0</v>
      </c>
      <c r="AV56">
        <v>0</v>
      </c>
      <c r="AW56" s="124">
        <v>1498852</v>
      </c>
      <c r="AX56" s="124">
        <v>1498852</v>
      </c>
      <c r="AY56" s="124">
        <v>269720</v>
      </c>
      <c r="AZ56" s="124">
        <v>36000</v>
      </c>
      <c r="BA56" s="124"/>
      <c r="BB56" s="124"/>
      <c r="BC56">
        <v>9</v>
      </c>
      <c r="BD56">
        <v>9</v>
      </c>
      <c r="BE56">
        <v>12</v>
      </c>
      <c r="BH56">
        <v>2</v>
      </c>
      <c r="BI56">
        <v>0</v>
      </c>
      <c r="BJ56">
        <v>0</v>
      </c>
      <c r="BK56">
        <v>0</v>
      </c>
      <c r="BL56" t="s">
        <v>2238</v>
      </c>
    </row>
    <row r="57" spans="1:64">
      <c r="A57" s="30">
        <v>42955.663055555553</v>
      </c>
      <c r="B57" s="30">
        <v>42809.672222222223</v>
      </c>
      <c r="C57" t="s">
        <v>1965</v>
      </c>
      <c r="D57" t="s">
        <v>741</v>
      </c>
      <c r="E57" t="s">
        <v>901</v>
      </c>
      <c r="F57" t="s">
        <v>1966</v>
      </c>
      <c r="G57" t="s">
        <v>170</v>
      </c>
      <c r="H57" s="21" t="s">
        <v>94</v>
      </c>
      <c r="I57" s="86">
        <v>1</v>
      </c>
      <c r="J57" s="86">
        <v>0</v>
      </c>
      <c r="K57" t="s">
        <v>1967</v>
      </c>
      <c r="L57" t="s">
        <v>948</v>
      </c>
      <c r="M57" t="s">
        <v>340</v>
      </c>
      <c r="N57" t="str">
        <f>IF(SUM(ckCodingTable[[#This Row],[NfmlPIs]:[NnonWhtAsnPIs]])&gt;0,"WMD","")</f>
        <v>WMD</v>
      </c>
      <c r="O57" t="b">
        <f>_xlfn.XOR(IFERROR(MATCH(ckCodingTable[[#This Row],[st_code]],EpscorTable[],0)&gt;0,FALSE),IFERROR(FIND("9150",ckCodingTable[[#This Row],[propPRCs]])&gt;0,FALSE))</f>
        <v>0</v>
      </c>
      <c r="P57" s="21" t="b">
        <f>_xlfn.XOR(ckCodingTable[[#This Row],[wmd]]&lt;&gt;"",IFERROR(FIND("9102",ckCodingTable[[#This Row],[propPRCs]])&gt;0,FALSE))</f>
        <v>0</v>
      </c>
      <c r="Q57" t="s">
        <v>2007</v>
      </c>
      <c r="R57" s="22">
        <v>42955.521805555552</v>
      </c>
      <c r="S57" s="108">
        <f>S56+(ckCodingTable[[#This Row],[ILN]]&lt;"M")</f>
        <v>36</v>
      </c>
      <c r="T57" s="21" t="s">
        <v>96</v>
      </c>
      <c r="U57" t="s">
        <v>1292</v>
      </c>
      <c r="V57" s="7" t="str">
        <f>HYPERLINK("https://www.ejacket.nsf.gov/ej/showProposal.do?ID="&amp;ckCodingTable[[#This Row],[prop_id]],"eJ")</f>
        <v>eJ</v>
      </c>
      <c r="W57" t="s">
        <v>742</v>
      </c>
      <c r="X57" t="s">
        <v>1292</v>
      </c>
      <c r="Y57" t="s">
        <v>1293</v>
      </c>
      <c r="Z57" t="s">
        <v>2239</v>
      </c>
      <c r="AA57" t="s">
        <v>339</v>
      </c>
      <c r="AB57" s="113" t="str">
        <f>HYPERLINK("mailto:"&amp;ckCodingTable[[#This Row],[email]]&amp;"&amp;subject=Your NSF Proposal:  "&amp;ckCodingTable[[#This Row],[Div]]&amp;" "&amp;ckCodingTable[[#This Row],[prop_id]], ckCodingTable[[#This Row],[email]])</f>
        <v>hirani@illinois.edu</v>
      </c>
      <c r="AC57" s="30">
        <v>42994</v>
      </c>
      <c r="AD57">
        <v>36</v>
      </c>
      <c r="AE57">
        <v>1</v>
      </c>
      <c r="AG57" s="122"/>
      <c r="AH57" t="s">
        <v>2240</v>
      </c>
      <c r="AI57" s="26">
        <v>5.333333333333333</v>
      </c>
      <c r="AJ57" s="22">
        <v>42877.684027777781</v>
      </c>
      <c r="AL57">
        <v>3</v>
      </c>
      <c r="AN57" s="122"/>
      <c r="AO57" s="122"/>
      <c r="AP57" s="122"/>
      <c r="AQ57" s="122"/>
      <c r="AR57" s="123" t="str">
        <f>HYPERLINK("https://www.ejacket.nsf.gov/ej/showProposal.do?ID="&amp;ckCodingTable[[#This Row],[prop_id]],"eJ")</f>
        <v>eJ</v>
      </c>
      <c r="AS57" t="s">
        <v>1971</v>
      </c>
      <c r="AT57" t="s">
        <v>2241</v>
      </c>
      <c r="AU57" t="b">
        <f>IF(ckCodingTable[[#This Row],[ILN]]="N",SUBSTITUTE(AT56," ","")&lt;&gt;SUBSTITUTE(ckCodingTable[[#This Row],[prop_titl_txt]]," ",""), FALSE)</f>
        <v>0</v>
      </c>
      <c r="AV57">
        <v>1</v>
      </c>
      <c r="AW57" s="124">
        <v>1500000</v>
      </c>
      <c r="AX57" s="124">
        <v>1500000</v>
      </c>
      <c r="AY57" s="124"/>
      <c r="AZ57" s="124">
        <v>54000</v>
      </c>
      <c r="BA57" s="124"/>
      <c r="BB57" s="124">
        <v>105000</v>
      </c>
      <c r="BC57">
        <v>15</v>
      </c>
      <c r="BD57">
        <v>30</v>
      </c>
      <c r="BE57">
        <v>12.75</v>
      </c>
      <c r="BH57">
        <v>4</v>
      </c>
      <c r="BI57">
        <v>0</v>
      </c>
      <c r="BJ57">
        <v>0</v>
      </c>
      <c r="BK57">
        <v>1</v>
      </c>
      <c r="BL57" t="s">
        <v>2242</v>
      </c>
    </row>
    <row r="58" spans="1:64">
      <c r="A58" s="30">
        <v>42955.67796296296</v>
      </c>
      <c r="B58" s="30">
        <v>42809.673611111109</v>
      </c>
      <c r="C58" t="s">
        <v>1965</v>
      </c>
      <c r="D58" t="s">
        <v>741</v>
      </c>
      <c r="E58" t="s">
        <v>901</v>
      </c>
      <c r="F58" t="s">
        <v>1966</v>
      </c>
      <c r="G58" t="s">
        <v>170</v>
      </c>
      <c r="H58" s="21" t="s">
        <v>94</v>
      </c>
      <c r="I58" s="86">
        <v>1</v>
      </c>
      <c r="J58" s="86">
        <v>0</v>
      </c>
      <c r="K58" t="s">
        <v>1967</v>
      </c>
      <c r="L58" t="s">
        <v>948</v>
      </c>
      <c r="M58" t="s">
        <v>345</v>
      </c>
      <c r="N58" t="str">
        <f>IF(SUM(ckCodingTable[[#This Row],[NfmlPIs]:[NnonWhtAsnPIs]])&gt;0,"WMD","")</f>
        <v>WMD</v>
      </c>
      <c r="O58" t="b">
        <f>_xlfn.XOR(IFERROR(MATCH(ckCodingTable[[#This Row],[st_code]],EpscorTable[],0)&gt;0,FALSE),IFERROR(FIND("9150",ckCodingTable[[#This Row],[propPRCs]])&gt;0,FALSE))</f>
        <v>0</v>
      </c>
      <c r="P58" s="21" t="b">
        <f>_xlfn.XOR(ckCodingTable[[#This Row],[wmd]]&lt;&gt;"",IFERROR(FIND("9102",ckCodingTable[[#This Row],[propPRCs]])&gt;0,FALSE))</f>
        <v>0</v>
      </c>
      <c r="Q58" t="s">
        <v>2007</v>
      </c>
      <c r="R58" s="22">
        <v>42955.557638888888</v>
      </c>
      <c r="S58" s="108">
        <f>S57+(ckCodingTable[[#This Row],[ILN]]&lt;"M")</f>
        <v>37</v>
      </c>
      <c r="T58" s="21" t="s">
        <v>96</v>
      </c>
      <c r="U58" t="s">
        <v>1300</v>
      </c>
      <c r="V58" s="7" t="str">
        <f>HYPERLINK("https://www.ejacket.nsf.gov/ej/showProposal.do?ID="&amp;ckCodingTable[[#This Row],[prop_id]],"eJ")</f>
        <v>eJ</v>
      </c>
      <c r="W58" t="s">
        <v>742</v>
      </c>
      <c r="X58" t="s">
        <v>1300</v>
      </c>
      <c r="Y58" t="s">
        <v>1301</v>
      </c>
      <c r="Z58" t="s">
        <v>2243</v>
      </c>
      <c r="AA58" t="s">
        <v>833</v>
      </c>
      <c r="AB58" s="113" t="str">
        <f>HYPERLINK("mailto:"&amp;ckCodingTable[[#This Row],[email]]&amp;"&amp;subject=Your NSF Proposal:  "&amp;ckCodingTable[[#This Row],[Div]]&amp;" "&amp;ckCodingTable[[#This Row],[prop_id]], ckCodingTable[[#This Row],[email]])</f>
        <v>mmcgee@smu.edu</v>
      </c>
      <c r="AC58" s="30">
        <v>42979</v>
      </c>
      <c r="AD58">
        <v>36</v>
      </c>
      <c r="AE58">
        <v>1</v>
      </c>
      <c r="AF58">
        <v>1</v>
      </c>
      <c r="AG58" s="122"/>
      <c r="AH58" t="s">
        <v>2236</v>
      </c>
      <c r="AI58" s="26">
        <v>4</v>
      </c>
      <c r="AJ58" s="22">
        <v>42878.534722222219</v>
      </c>
      <c r="AL58">
        <v>3</v>
      </c>
      <c r="AN58" s="122"/>
      <c r="AO58" s="122"/>
      <c r="AP58" s="122"/>
      <c r="AQ58" s="122"/>
      <c r="AR58" s="123" t="str">
        <f>HYPERLINK("https://www.ejacket.nsf.gov/ej/showProposal.do?ID="&amp;ckCodingTable[[#This Row],[prop_id]],"eJ")</f>
        <v>eJ</v>
      </c>
      <c r="AS58" t="s">
        <v>1971</v>
      </c>
      <c r="AT58" t="s">
        <v>2244</v>
      </c>
      <c r="AU58" t="b">
        <f>IF(ckCodingTable[[#This Row],[ILN]]="N",SUBSTITUTE(AT57," ","")&lt;&gt;SUBSTITUTE(ckCodingTable[[#This Row],[prop_titl_txt]]," ",""), FALSE)</f>
        <v>0</v>
      </c>
      <c r="AV58">
        <v>0</v>
      </c>
      <c r="AW58" s="124">
        <v>1478234</v>
      </c>
      <c r="AX58" s="124">
        <v>1478234</v>
      </c>
      <c r="AY58" s="124"/>
      <c r="AZ58" s="124"/>
      <c r="BA58" s="124">
        <v>183624</v>
      </c>
      <c r="BB58" s="124"/>
      <c r="BC58">
        <v>13</v>
      </c>
      <c r="BD58">
        <v>18</v>
      </c>
      <c r="BE58">
        <v>17</v>
      </c>
      <c r="BF58">
        <v>5.62</v>
      </c>
      <c r="BH58">
        <v>4</v>
      </c>
      <c r="BI58">
        <v>0</v>
      </c>
      <c r="BJ58">
        <v>0</v>
      </c>
      <c r="BK58">
        <v>0</v>
      </c>
      <c r="BL58" t="s">
        <v>2245</v>
      </c>
    </row>
    <row r="59" spans="1:64">
      <c r="A59" s="30">
        <v>42957.732754629629</v>
      </c>
      <c r="B59" s="30">
        <v>42809.682638888888</v>
      </c>
      <c r="C59" t="s">
        <v>1965</v>
      </c>
      <c r="D59" t="s">
        <v>741</v>
      </c>
      <c r="E59" t="s">
        <v>901</v>
      </c>
      <c r="F59" t="s">
        <v>1966</v>
      </c>
      <c r="G59" t="s">
        <v>170</v>
      </c>
      <c r="H59" s="21" t="s">
        <v>94</v>
      </c>
      <c r="I59" s="86">
        <v>1</v>
      </c>
      <c r="J59" s="86">
        <v>0</v>
      </c>
      <c r="K59" t="s">
        <v>1967</v>
      </c>
      <c r="L59" t="s">
        <v>948</v>
      </c>
      <c r="M59" t="s">
        <v>345</v>
      </c>
      <c r="N59" t="str">
        <f>IF(SUM(ckCodingTable[[#This Row],[NfmlPIs]:[NnonWhtAsnPIs]])&gt;0,"WMD","")</f>
        <v>WMD</v>
      </c>
      <c r="O59" t="b">
        <f>_xlfn.XOR(IFERROR(MATCH(ckCodingTable[[#This Row],[st_code]],EpscorTable[],0)&gt;0,FALSE),IFERROR(FIND("9150",ckCodingTable[[#This Row],[propPRCs]])&gt;0,FALSE))</f>
        <v>0</v>
      </c>
      <c r="P59" s="21" t="b">
        <f>_xlfn.XOR(ckCodingTable[[#This Row],[wmd]]&lt;&gt;"",IFERROR(FIND("9102",ckCodingTable[[#This Row],[propPRCs]])&gt;0,FALSE))</f>
        <v>0</v>
      </c>
      <c r="Q59" t="s">
        <v>2007</v>
      </c>
      <c r="R59" s="22">
        <v>42957.365543981483</v>
      </c>
      <c r="S59" s="108">
        <f>S58+(ckCodingTable[[#This Row],[ILN]]&lt;"M")</f>
        <v>38</v>
      </c>
      <c r="T59" s="21" t="s">
        <v>1981</v>
      </c>
      <c r="U59" t="s">
        <v>1307</v>
      </c>
      <c r="V59" s="7" t="str">
        <f>HYPERLINK("https://www.ejacket.nsf.gov/ej/showProposal.do?ID="&amp;ckCodingTable[[#This Row],[prop_id]],"eJ")</f>
        <v>eJ</v>
      </c>
      <c r="W59" t="s">
        <v>742</v>
      </c>
      <c r="X59" t="s">
        <v>1307</v>
      </c>
      <c r="Y59" t="s">
        <v>1308</v>
      </c>
      <c r="Z59" t="s">
        <v>2246</v>
      </c>
      <c r="AA59" t="s">
        <v>2247</v>
      </c>
      <c r="AB59" s="113" t="str">
        <f>HYPERLINK("mailto:"&amp;ckCodingTable[[#This Row],[email]]&amp;"&amp;subject=Your NSF Proposal:  "&amp;ckCodingTable[[#This Row],[Div]]&amp;" "&amp;ckCodingTable[[#This Row],[prop_id]], ckCodingTable[[#This Row],[email]])</f>
        <v>vardi@rice.edu</v>
      </c>
      <c r="AC59" s="30">
        <v>43009</v>
      </c>
      <c r="AD59">
        <v>36</v>
      </c>
      <c r="AE59">
        <v>1</v>
      </c>
      <c r="AG59" s="122"/>
      <c r="AH59" t="s">
        <v>2248</v>
      </c>
      <c r="AI59" s="26">
        <v>5.666666666666667</v>
      </c>
      <c r="AJ59" s="22">
        <v>42878.472222222219</v>
      </c>
      <c r="AL59">
        <v>3</v>
      </c>
      <c r="AN59" s="122"/>
      <c r="AO59" s="122"/>
      <c r="AP59" s="122"/>
      <c r="AQ59" s="122"/>
      <c r="AR59" s="123" t="str">
        <f>HYPERLINK("https://www.ejacket.nsf.gov/ej/showProposal.do?ID="&amp;ckCodingTable[[#This Row],[prop_id]],"eJ")</f>
        <v>eJ</v>
      </c>
      <c r="AS59" t="s">
        <v>1971</v>
      </c>
      <c r="AT59" t="s">
        <v>2249</v>
      </c>
      <c r="AU59" t="b">
        <f>IF(ckCodingTable[[#This Row],[ILN]]="N",SUBSTITUTE(AT58," ","")&lt;&gt;SUBSTITUTE(ckCodingTable[[#This Row],[prop_titl_txt]]," ",""), FALSE)</f>
        <v>0</v>
      </c>
      <c r="AV59">
        <v>0</v>
      </c>
      <c r="AW59" s="124">
        <v>600000</v>
      </c>
      <c r="AX59" s="124">
        <v>600000</v>
      </c>
      <c r="AY59" s="124"/>
      <c r="AZ59" s="124"/>
      <c r="BA59" s="124">
        <v>92727</v>
      </c>
      <c r="BB59" s="124"/>
      <c r="BD59">
        <v>15</v>
      </c>
      <c r="BE59">
        <v>0.87</v>
      </c>
      <c r="BH59">
        <v>4</v>
      </c>
      <c r="BI59">
        <v>0</v>
      </c>
      <c r="BJ59">
        <v>1</v>
      </c>
      <c r="BK59">
        <v>0</v>
      </c>
      <c r="BL59" t="s">
        <v>2250</v>
      </c>
    </row>
    <row r="60" spans="1:64">
      <c r="A60" s="30">
        <v>42957.732754629629</v>
      </c>
      <c r="B60" s="30">
        <v>42809.529861111114</v>
      </c>
      <c r="C60" t="s">
        <v>1965</v>
      </c>
      <c r="D60" t="s">
        <v>741</v>
      </c>
      <c r="E60" t="s">
        <v>901</v>
      </c>
      <c r="F60" t="s">
        <v>1966</v>
      </c>
      <c r="G60" t="s">
        <v>170</v>
      </c>
      <c r="H60" s="21" t="s">
        <v>94</v>
      </c>
      <c r="I60" s="86">
        <v>1</v>
      </c>
      <c r="J60" s="86">
        <v>0</v>
      </c>
      <c r="K60" t="s">
        <v>1967</v>
      </c>
      <c r="L60" t="s">
        <v>948</v>
      </c>
      <c r="M60" t="s">
        <v>345</v>
      </c>
      <c r="N60" t="str">
        <f>IF(SUM(ckCodingTable[[#This Row],[NfmlPIs]:[NnonWhtAsnPIs]])&gt;0,"WMD","")</f>
        <v>WMD</v>
      </c>
      <c r="O60" t="b">
        <f>_xlfn.XOR(IFERROR(MATCH(ckCodingTable[[#This Row],[st_code]],EpscorTable[],0)&gt;0,FALSE),IFERROR(FIND("9150",ckCodingTable[[#This Row],[propPRCs]])&gt;0,FALSE))</f>
        <v>0</v>
      </c>
      <c r="P60" s="21" t="b">
        <f>_xlfn.XOR(ckCodingTable[[#This Row],[wmd]]&lt;&gt;"",IFERROR(FIND("9102",ckCodingTable[[#This Row],[propPRCs]])&gt;0,FALSE))</f>
        <v>0</v>
      </c>
      <c r="Q60" t="s">
        <v>2007</v>
      </c>
      <c r="R60" s="22">
        <v>42957.365543981483</v>
      </c>
      <c r="S60" s="108">
        <f>S59+(ckCodingTable[[#This Row],[ILN]]&lt;"M")</f>
        <v>38</v>
      </c>
      <c r="T60" s="21" t="s">
        <v>1989</v>
      </c>
      <c r="U60" t="s">
        <v>1307</v>
      </c>
      <c r="V60" s="7" t="str">
        <f>HYPERLINK("https://www.ejacket.nsf.gov/ej/showProposal.do?ID="&amp;ckCodingTable[[#This Row],[prop_id]],"eJ")</f>
        <v>eJ</v>
      </c>
      <c r="W60" t="s">
        <v>742</v>
      </c>
      <c r="X60" t="s">
        <v>1311</v>
      </c>
      <c r="Y60" t="s">
        <v>1310</v>
      </c>
      <c r="Z60" t="s">
        <v>2251</v>
      </c>
      <c r="AA60" t="s">
        <v>2252</v>
      </c>
      <c r="AB60" s="113" t="str">
        <f>HYPERLINK("mailto:"&amp;ckCodingTable[[#This Row],[email]]&amp;"&amp;subject=Your NSF Proposal:  "&amp;ckCodingTable[[#This Row],[Div]]&amp;" "&amp;ckCodingTable[[#This Row],[prop_id]], ckCodingTable[[#This Row],[email]])</f>
        <v>bmallick@stat.tamu.edu</v>
      </c>
      <c r="AC60" s="30">
        <v>43009</v>
      </c>
      <c r="AD60">
        <v>36</v>
      </c>
      <c r="AG60" s="122"/>
      <c r="AI60" s="26"/>
      <c r="AJ60" s="22"/>
      <c r="AN60" s="122"/>
      <c r="AO60" s="122"/>
      <c r="AP60" s="122"/>
      <c r="AQ60" s="122"/>
      <c r="AR60" s="123" t="str">
        <f>HYPERLINK("https://www.ejacket.nsf.gov/ej/showProposal.do?ID="&amp;ckCodingTable[[#This Row],[prop_id]],"eJ")</f>
        <v>eJ</v>
      </c>
      <c r="AS60" t="s">
        <v>1971</v>
      </c>
      <c r="AT60" t="s">
        <v>2249</v>
      </c>
      <c r="AU60" t="b">
        <f>IF(ckCodingTable[[#This Row],[ILN]]="N",SUBSTITUTE(AT59," ","")&lt;&gt;SUBSTITUTE(ckCodingTable[[#This Row],[prop_titl_txt]]," ",""), FALSE)</f>
        <v>0</v>
      </c>
      <c r="AV60">
        <v>0</v>
      </c>
      <c r="AW60" s="124">
        <v>450000</v>
      </c>
      <c r="AX60" s="124">
        <v>450000</v>
      </c>
      <c r="AY60" s="124"/>
      <c r="AZ60" s="124"/>
      <c r="BA60" s="124">
        <v>55359</v>
      </c>
      <c r="BB60" s="124"/>
      <c r="BD60">
        <v>15</v>
      </c>
      <c r="BG60">
        <v>1.8</v>
      </c>
      <c r="BH60">
        <v>1</v>
      </c>
      <c r="BI60">
        <v>1</v>
      </c>
      <c r="BJ60">
        <v>0</v>
      </c>
      <c r="BK60">
        <v>0</v>
      </c>
      <c r="BL60" t="s">
        <v>2253</v>
      </c>
    </row>
    <row r="61" spans="1:64">
      <c r="A61" s="30">
        <v>42957.732754629629</v>
      </c>
      <c r="B61" s="30">
        <v>42809.67291666667</v>
      </c>
      <c r="C61" t="s">
        <v>1965</v>
      </c>
      <c r="D61" t="s">
        <v>741</v>
      </c>
      <c r="E61" t="s">
        <v>901</v>
      </c>
      <c r="F61" t="s">
        <v>1966</v>
      </c>
      <c r="G61" t="s">
        <v>170</v>
      </c>
      <c r="H61" s="21" t="s">
        <v>94</v>
      </c>
      <c r="I61" s="86">
        <v>1</v>
      </c>
      <c r="J61" s="86">
        <v>0</v>
      </c>
      <c r="K61" t="s">
        <v>1967</v>
      </c>
      <c r="L61" t="s">
        <v>948</v>
      </c>
      <c r="M61" t="s">
        <v>345</v>
      </c>
      <c r="N61" t="str">
        <f>IF(SUM(ckCodingTable[[#This Row],[NfmlPIs]:[NnonWhtAsnPIs]])&gt;0,"WMD","")</f>
        <v>WMD</v>
      </c>
      <c r="O61" t="b">
        <f>_xlfn.XOR(IFERROR(MATCH(ckCodingTable[[#This Row],[st_code]],EpscorTable[],0)&gt;0,FALSE),IFERROR(FIND("9150",ckCodingTable[[#This Row],[propPRCs]])&gt;0,FALSE))</f>
        <v>0</v>
      </c>
      <c r="P61" s="21" t="b">
        <f>_xlfn.XOR(ckCodingTable[[#This Row],[wmd]]&lt;&gt;"",IFERROR(FIND("9102",ckCodingTable[[#This Row],[propPRCs]])&gt;0,FALSE))</f>
        <v>0</v>
      </c>
      <c r="Q61" t="s">
        <v>2007</v>
      </c>
      <c r="R61" s="22">
        <v>42957.365543981483</v>
      </c>
      <c r="S61" s="108">
        <f>S60+(ckCodingTable[[#This Row],[ILN]]&lt;"M")</f>
        <v>38</v>
      </c>
      <c r="T61" s="21" t="s">
        <v>1989</v>
      </c>
      <c r="U61" t="s">
        <v>1307</v>
      </c>
      <c r="V61" s="7" t="str">
        <f>HYPERLINK("https://www.ejacket.nsf.gov/ej/showProposal.do?ID="&amp;ckCodingTable[[#This Row],[prop_id]],"eJ")</f>
        <v>eJ</v>
      </c>
      <c r="W61" t="s">
        <v>742</v>
      </c>
      <c r="X61" t="s">
        <v>1314</v>
      </c>
      <c r="Y61" t="s">
        <v>1313</v>
      </c>
      <c r="Z61" t="s">
        <v>2254</v>
      </c>
      <c r="AA61" t="s">
        <v>799</v>
      </c>
      <c r="AB61" s="113" t="str">
        <f>HYPERLINK("mailto:"&amp;ckCodingTable[[#This Row],[email]]&amp;"&amp;subject=Your NSF Proposal:  "&amp;ckCodingTable[[#This Row],[Div]]&amp;" "&amp;ckCodingTable[[#This Row],[prop_id]], ckCodingTable[[#This Row],[email]])</f>
        <v>inderjit@cs.utexas.edu</v>
      </c>
      <c r="AC61" s="30">
        <v>43009</v>
      </c>
      <c r="AD61">
        <v>36</v>
      </c>
      <c r="AG61" s="122"/>
      <c r="AI61" s="26"/>
      <c r="AJ61" s="22"/>
      <c r="AN61" s="122"/>
      <c r="AO61" s="122"/>
      <c r="AP61" s="122"/>
      <c r="AQ61" s="122"/>
      <c r="AR61" s="123" t="str">
        <f>HYPERLINK("https://www.ejacket.nsf.gov/ej/showProposal.do?ID="&amp;ckCodingTable[[#This Row],[prop_id]],"eJ")</f>
        <v>eJ</v>
      </c>
      <c r="AS61" t="s">
        <v>1971</v>
      </c>
      <c r="AT61" t="s">
        <v>2249</v>
      </c>
      <c r="AU61" t="b">
        <f>IF(ckCodingTable[[#This Row],[ILN]]="N",SUBSTITUTE(AT60," ","")&lt;&gt;SUBSTITUTE(ckCodingTable[[#This Row],[prop_titl_txt]]," ",""), FALSE)</f>
        <v>0</v>
      </c>
      <c r="AV61">
        <v>0</v>
      </c>
      <c r="AW61" s="124">
        <v>450000</v>
      </c>
      <c r="AX61" s="124">
        <v>450000</v>
      </c>
      <c r="AY61" s="124"/>
      <c r="AZ61" s="124"/>
      <c r="BA61" s="124">
        <v>122727</v>
      </c>
      <c r="BB61" s="124"/>
      <c r="BD61">
        <v>15</v>
      </c>
      <c r="BE61">
        <v>1.8</v>
      </c>
      <c r="BH61">
        <v>1</v>
      </c>
      <c r="BI61">
        <v>0</v>
      </c>
      <c r="BJ61">
        <v>0</v>
      </c>
      <c r="BK61">
        <v>0</v>
      </c>
      <c r="BL61" t="s">
        <v>2255</v>
      </c>
    </row>
    <row r="62" spans="1:64">
      <c r="A62" s="30">
        <v>42933.413645833331</v>
      </c>
      <c r="B62" s="30">
        <v>42809.683333333334</v>
      </c>
      <c r="C62" t="s">
        <v>1965</v>
      </c>
      <c r="D62" t="s">
        <v>741</v>
      </c>
      <c r="E62" t="s">
        <v>901</v>
      </c>
      <c r="F62" t="s">
        <v>1974</v>
      </c>
      <c r="G62" t="s">
        <v>170</v>
      </c>
      <c r="H62" s="21" t="s">
        <v>94</v>
      </c>
      <c r="I62" s="86">
        <v>1</v>
      </c>
      <c r="J62" s="86">
        <v>0</v>
      </c>
      <c r="K62" t="s">
        <v>1967</v>
      </c>
      <c r="L62" t="s">
        <v>543</v>
      </c>
      <c r="M62" t="s">
        <v>258</v>
      </c>
      <c r="N62" t="str">
        <f>IF(SUM(ckCodingTable[[#This Row],[NfmlPIs]:[NnonWhtAsnPIs]])&gt;0,"WMD","")</f>
        <v/>
      </c>
      <c r="O62" t="b">
        <f>_xlfn.XOR(IFERROR(MATCH(ckCodingTable[[#This Row],[st_code]],EpscorTable[],0)&gt;0,FALSE),IFERROR(FIND("9150",ckCodingTable[[#This Row],[propPRCs]])&gt;0,FALSE))</f>
        <v>0</v>
      </c>
      <c r="P62" s="21" t="b">
        <f>_xlfn.XOR(ckCodingTable[[#This Row],[wmd]]&lt;&gt;"",IFERROR(FIND("9102",ckCodingTable[[#This Row],[propPRCs]])&gt;0,FALSE))</f>
        <v>0</v>
      </c>
      <c r="Q62" t="s">
        <v>1968</v>
      </c>
      <c r="R62" s="22">
        <v>42929.446134259262</v>
      </c>
      <c r="S62" s="108">
        <f>S61+(ckCodingTable[[#This Row],[ILN]]&lt;"M")</f>
        <v>39</v>
      </c>
      <c r="T62" s="21" t="s">
        <v>96</v>
      </c>
      <c r="U62" t="s">
        <v>1320</v>
      </c>
      <c r="V62" s="7" t="str">
        <f>HYPERLINK("https://www.ejacket.nsf.gov/ej/showProposal.do?ID="&amp;ckCodingTable[[#This Row],[prop_id]],"eJ")</f>
        <v>eJ</v>
      </c>
      <c r="W62" t="s">
        <v>742</v>
      </c>
      <c r="X62" t="s">
        <v>1320</v>
      </c>
      <c r="Y62" t="s">
        <v>1321</v>
      </c>
      <c r="Z62" t="s">
        <v>2256</v>
      </c>
      <c r="AA62" t="s">
        <v>2257</v>
      </c>
      <c r="AB62" s="113" t="str">
        <f>HYPERLINK("mailto:"&amp;ckCodingTable[[#This Row],[email]]&amp;"&amp;subject=Your NSF Proposal:  "&amp;ckCodingTable[[#This Row],[Div]]&amp;" "&amp;ckCodingTable[[#This Row],[prop_id]], ckCodingTable[[#This Row],[email]])</f>
        <v>kilianweinberger@cornell.edu</v>
      </c>
      <c r="AC62" s="30">
        <v>43009</v>
      </c>
      <c r="AD62">
        <v>36</v>
      </c>
      <c r="AE62">
        <v>1</v>
      </c>
      <c r="AG62" s="122"/>
      <c r="AH62" t="s">
        <v>2258</v>
      </c>
      <c r="AI62" s="26">
        <v>8.6666666666666661</v>
      </c>
      <c r="AJ62" s="22">
        <v>42870.640972222223</v>
      </c>
      <c r="AK62" s="22">
        <v>1</v>
      </c>
      <c r="AL62">
        <v>3</v>
      </c>
      <c r="AN62" s="122"/>
      <c r="AO62" s="122"/>
      <c r="AP62" s="122"/>
      <c r="AQ62" s="122"/>
      <c r="AR62" s="123" t="str">
        <f>HYPERLINK("https://www.ejacket.nsf.gov/ej/showProposal.do?ID="&amp;ckCodingTable[[#This Row],[prop_id]],"eJ")</f>
        <v>eJ</v>
      </c>
      <c r="AS62" t="s">
        <v>1977</v>
      </c>
      <c r="AT62" t="s">
        <v>2259</v>
      </c>
      <c r="AU62" t="b">
        <f>IF(ckCodingTable[[#This Row],[ILN]]="N",SUBSTITUTE(AT61," ","")&lt;&gt;SUBSTITUTE(ckCodingTable[[#This Row],[prop_titl_txt]]," ",""), FALSE)</f>
        <v>0</v>
      </c>
      <c r="AV62">
        <v>1</v>
      </c>
      <c r="AW62" s="124">
        <v>1497238</v>
      </c>
      <c r="AX62" s="124">
        <v>1496655</v>
      </c>
      <c r="AY62" s="124"/>
      <c r="AZ62" s="124"/>
      <c r="BA62" s="124">
        <v>600680</v>
      </c>
      <c r="BB62" s="124">
        <v>24000</v>
      </c>
      <c r="BH62">
        <v>0</v>
      </c>
      <c r="BI62">
        <v>0</v>
      </c>
      <c r="BJ62">
        <v>0</v>
      </c>
      <c r="BK62">
        <v>0</v>
      </c>
      <c r="BL62" t="s">
        <v>2260</v>
      </c>
    </row>
    <row r="63" spans="1:64">
      <c r="A63" s="30">
        <v>42934.469247685185</v>
      </c>
      <c r="B63" s="30">
        <v>42809.688888888886</v>
      </c>
      <c r="C63" t="s">
        <v>1965</v>
      </c>
      <c r="D63" t="s">
        <v>741</v>
      </c>
      <c r="E63" t="s">
        <v>901</v>
      </c>
      <c r="F63" t="s">
        <v>1966</v>
      </c>
      <c r="G63" t="s">
        <v>170</v>
      </c>
      <c r="H63" s="21" t="s">
        <v>94</v>
      </c>
      <c r="I63" s="86">
        <v>1</v>
      </c>
      <c r="J63" s="86">
        <v>0</v>
      </c>
      <c r="K63" t="s">
        <v>1967</v>
      </c>
      <c r="L63" t="s">
        <v>540</v>
      </c>
      <c r="M63" t="s">
        <v>258</v>
      </c>
      <c r="N63" t="str">
        <f>IF(SUM(ckCodingTable[[#This Row],[NfmlPIs]:[NnonWhtAsnPIs]])&gt;0,"WMD","")</f>
        <v>WMD</v>
      </c>
      <c r="O63" t="b">
        <f>_xlfn.XOR(IFERROR(MATCH(ckCodingTable[[#This Row],[st_code]],EpscorTable[],0)&gt;0,FALSE),IFERROR(FIND("9150",ckCodingTable[[#This Row],[propPRCs]])&gt;0,FALSE))</f>
        <v>0</v>
      </c>
      <c r="P63" s="21" t="b">
        <f>_xlfn.XOR(ckCodingTable[[#This Row],[wmd]]&lt;&gt;"",IFERROR(FIND("9102",ckCodingTable[[#This Row],[propPRCs]])&gt;0,FALSE))</f>
        <v>0</v>
      </c>
      <c r="Q63" t="s">
        <v>2007</v>
      </c>
      <c r="R63" s="22">
        <v>42920.120162037034</v>
      </c>
      <c r="S63" s="108">
        <f>S62+(ckCodingTable[[#This Row],[ILN]]&lt;"M")</f>
        <v>40</v>
      </c>
      <c r="T63" s="21" t="s">
        <v>96</v>
      </c>
      <c r="U63" t="s">
        <v>1331</v>
      </c>
      <c r="V63" s="7" t="str">
        <f>HYPERLINK("https://www.ejacket.nsf.gov/ej/showProposal.do?ID="&amp;ckCodingTable[[#This Row],[prop_id]],"eJ")</f>
        <v>eJ</v>
      </c>
      <c r="W63" t="s">
        <v>742</v>
      </c>
      <c r="X63" t="s">
        <v>1331</v>
      </c>
      <c r="Y63" t="s">
        <v>1332</v>
      </c>
      <c r="Z63" t="s">
        <v>2261</v>
      </c>
      <c r="AA63" t="s">
        <v>2222</v>
      </c>
      <c r="AB63" s="113" t="str">
        <f>HYPERLINK("mailto:"&amp;ckCodingTable[[#This Row],[email]]&amp;"&amp;subject=Your NSF Proposal:  "&amp;ckCodingTable[[#This Row],[Div]]&amp;" "&amp;ckCodingTable[[#This Row],[prop_id]], ckCodingTable[[#This Row],[email]])</f>
        <v>cfg3@nyu.edu</v>
      </c>
      <c r="AC63" s="30">
        <v>42979</v>
      </c>
      <c r="AD63">
        <v>36</v>
      </c>
      <c r="AE63">
        <v>1</v>
      </c>
      <c r="AG63" s="122"/>
      <c r="AH63" t="s">
        <v>2072</v>
      </c>
      <c r="AI63" s="26">
        <v>6.333333333333333</v>
      </c>
      <c r="AJ63" s="22">
        <v>42873.537499999999</v>
      </c>
      <c r="AL63">
        <v>3</v>
      </c>
      <c r="AN63" s="122"/>
      <c r="AO63" s="122"/>
      <c r="AP63" s="122"/>
      <c r="AQ63" s="122"/>
      <c r="AR63" s="123" t="str">
        <f>HYPERLINK("https://www.ejacket.nsf.gov/ej/showProposal.do?ID="&amp;ckCodingTable[[#This Row],[prop_id]],"eJ")</f>
        <v>eJ</v>
      </c>
      <c r="AS63" t="s">
        <v>1971</v>
      </c>
      <c r="AT63" t="s">
        <v>2262</v>
      </c>
      <c r="AU63" t="b">
        <f>IF(ckCodingTable[[#This Row],[ILN]]="N",SUBSTITUTE(AT62," ","")&lt;&gt;SUBSTITUTE(ckCodingTable[[#This Row],[prop_titl_txt]]," ",""), FALSE)</f>
        <v>0</v>
      </c>
      <c r="AV63">
        <v>0</v>
      </c>
      <c r="AW63" s="124">
        <v>1473414</v>
      </c>
      <c r="AX63" s="124">
        <v>1473414</v>
      </c>
      <c r="AY63" s="124"/>
      <c r="AZ63" s="124"/>
      <c r="BA63" s="124">
        <v>299875</v>
      </c>
      <c r="BB63" s="124">
        <v>120000</v>
      </c>
      <c r="BC63">
        <v>6</v>
      </c>
      <c r="BD63">
        <v>12</v>
      </c>
      <c r="BE63">
        <v>10.68</v>
      </c>
      <c r="BH63">
        <v>0</v>
      </c>
      <c r="BI63">
        <v>1</v>
      </c>
      <c r="BJ63">
        <v>0</v>
      </c>
      <c r="BK63">
        <v>0</v>
      </c>
      <c r="BL63" t="s">
        <v>2263</v>
      </c>
    </row>
    <row r="64" spans="1:64">
      <c r="A64" s="30">
        <v>42955.710752314815</v>
      </c>
      <c r="B64" s="30">
        <v>42809.693749999999</v>
      </c>
      <c r="C64" t="s">
        <v>1965</v>
      </c>
      <c r="D64" t="s">
        <v>741</v>
      </c>
      <c r="E64" t="s">
        <v>901</v>
      </c>
      <c r="F64" t="s">
        <v>1966</v>
      </c>
      <c r="G64" t="s">
        <v>170</v>
      </c>
      <c r="H64" s="21" t="s">
        <v>94</v>
      </c>
      <c r="I64" s="86">
        <v>1</v>
      </c>
      <c r="J64" s="86">
        <v>0</v>
      </c>
      <c r="K64" t="s">
        <v>1967</v>
      </c>
      <c r="L64" t="s">
        <v>540</v>
      </c>
      <c r="M64" t="s">
        <v>257</v>
      </c>
      <c r="N64" t="str">
        <f>IF(SUM(ckCodingTable[[#This Row],[NfmlPIs]:[NnonWhtAsnPIs]])&gt;0,"WMD","")</f>
        <v/>
      </c>
      <c r="O64" t="b">
        <f>_xlfn.XOR(IFERROR(MATCH(ckCodingTable[[#This Row],[st_code]],EpscorTable[],0)&gt;0,FALSE),IFERROR(FIND("9150",ckCodingTable[[#This Row],[propPRCs]])&gt;0,FALSE))</f>
        <v>0</v>
      </c>
      <c r="P64" s="21" t="b">
        <f>_xlfn.XOR(ckCodingTable[[#This Row],[wmd]]&lt;&gt;"",IFERROR(FIND("9102",ckCodingTable[[#This Row],[propPRCs]])&gt;0,FALSE))</f>
        <v>0</v>
      </c>
      <c r="Q64" t="s">
        <v>1968</v>
      </c>
      <c r="R64" s="22">
        <v>42914.639224537037</v>
      </c>
      <c r="S64" s="108">
        <f>S63+(ckCodingTable[[#This Row],[ILN]]&lt;"M")</f>
        <v>41</v>
      </c>
      <c r="T64" s="21" t="s">
        <v>96</v>
      </c>
      <c r="U64" t="s">
        <v>1339</v>
      </c>
      <c r="V64" s="7" t="str">
        <f>HYPERLINK("https://www.ejacket.nsf.gov/ej/showProposal.do?ID="&amp;ckCodingTable[[#This Row],[prop_id]],"eJ")</f>
        <v>eJ</v>
      </c>
      <c r="W64" t="s">
        <v>742</v>
      </c>
      <c r="X64" t="s">
        <v>1339</v>
      </c>
      <c r="Y64" t="s">
        <v>1340</v>
      </c>
      <c r="Z64" t="s">
        <v>2100</v>
      </c>
      <c r="AA64" t="s">
        <v>2032</v>
      </c>
      <c r="AB64" s="113" t="str">
        <f>HYPERLINK("mailto:"&amp;ckCodingTable[[#This Row],[email]]&amp;"&amp;subject=Your NSF Proposal:  "&amp;ckCodingTable[[#This Row],[Div]]&amp;" "&amp;ckCodingTable[[#This Row],[prop_id]], ckCodingTable[[#This Row],[email]])</f>
        <v>mcgregor@cs.umass.edu</v>
      </c>
      <c r="AC64" s="30">
        <v>42979</v>
      </c>
      <c r="AD64">
        <v>36</v>
      </c>
      <c r="AE64">
        <v>1</v>
      </c>
      <c r="AG64" s="122"/>
      <c r="AH64" t="s">
        <v>834</v>
      </c>
      <c r="AI64" s="26">
        <v>4.666666666666667</v>
      </c>
      <c r="AJ64" s="22">
        <v>42872.493055555555</v>
      </c>
      <c r="AK64" s="22">
        <v>2</v>
      </c>
      <c r="AL64">
        <v>3</v>
      </c>
      <c r="AN64" s="122"/>
      <c r="AO64" s="122"/>
      <c r="AP64" s="122"/>
      <c r="AQ64" s="122"/>
      <c r="AR64" s="123" t="str">
        <f>HYPERLINK("https://www.ejacket.nsf.gov/ej/showProposal.do?ID="&amp;ckCodingTable[[#This Row],[prop_id]],"eJ")</f>
        <v>eJ</v>
      </c>
      <c r="AS64" t="s">
        <v>1971</v>
      </c>
      <c r="AT64" t="s">
        <v>2264</v>
      </c>
      <c r="AU64" t="b">
        <f>IF(ckCodingTable[[#This Row],[ILN]]="N",SUBSTITUTE(AT63," ","")&lt;&gt;SUBSTITUTE(ckCodingTable[[#This Row],[prop_titl_txt]]," ",""), FALSE)</f>
        <v>0</v>
      </c>
      <c r="AV64">
        <v>0</v>
      </c>
      <c r="AW64" s="124">
        <v>1499733</v>
      </c>
      <c r="AX64" s="124">
        <v>1499733</v>
      </c>
      <c r="AY64" s="124"/>
      <c r="AZ64" s="124"/>
      <c r="BA64" s="124">
        <v>543589</v>
      </c>
      <c r="BB64" s="124">
        <v>78000</v>
      </c>
      <c r="BD64">
        <v>15</v>
      </c>
      <c r="BE64">
        <v>14.5</v>
      </c>
      <c r="BH64">
        <v>0</v>
      </c>
      <c r="BI64">
        <v>0</v>
      </c>
      <c r="BJ64">
        <v>0</v>
      </c>
      <c r="BK64">
        <v>0</v>
      </c>
      <c r="BL64" t="s">
        <v>2265</v>
      </c>
    </row>
    <row r="65" spans="1:64">
      <c r="A65" s="30">
        <v>42955.712395833332</v>
      </c>
      <c r="B65" s="30">
        <v>42809.695138888892</v>
      </c>
      <c r="C65" t="s">
        <v>1965</v>
      </c>
      <c r="D65" t="s">
        <v>741</v>
      </c>
      <c r="E65" t="s">
        <v>901</v>
      </c>
      <c r="F65" t="s">
        <v>1966</v>
      </c>
      <c r="G65" t="s">
        <v>170</v>
      </c>
      <c r="H65" s="21" t="s">
        <v>94</v>
      </c>
      <c r="I65" s="86">
        <v>1</v>
      </c>
      <c r="J65" s="86">
        <v>0</v>
      </c>
      <c r="K65" t="s">
        <v>1967</v>
      </c>
      <c r="L65" t="s">
        <v>540</v>
      </c>
      <c r="M65" t="s">
        <v>1980</v>
      </c>
      <c r="N65" t="str">
        <f>IF(SUM(ckCodingTable[[#This Row],[NfmlPIs]:[NnonWhtAsnPIs]])&gt;0,"WMD","")</f>
        <v/>
      </c>
      <c r="O65" t="b">
        <f>_xlfn.XOR(IFERROR(MATCH(ckCodingTable[[#This Row],[st_code]],EpscorTable[],0)&gt;0,FALSE),IFERROR(FIND("9150",ckCodingTable[[#This Row],[propPRCs]])&gt;0,FALSE))</f>
        <v>0</v>
      </c>
      <c r="P65" s="21" t="b">
        <f>_xlfn.XOR(ckCodingTable[[#This Row],[wmd]]&lt;&gt;"",IFERROR(FIND("9102",ckCodingTable[[#This Row],[propPRCs]])&gt;0,FALSE))</f>
        <v>0</v>
      </c>
      <c r="Q65" t="s">
        <v>1968</v>
      </c>
      <c r="R65" s="22">
        <v>42914.639282407406</v>
      </c>
      <c r="S65" s="108">
        <f>S64+(ckCodingTable[[#This Row],[ILN]]&lt;"M")</f>
        <v>42</v>
      </c>
      <c r="T65" s="21" t="s">
        <v>96</v>
      </c>
      <c r="U65" t="s">
        <v>1347</v>
      </c>
      <c r="V65" s="7" t="str">
        <f>HYPERLINK("https://www.ejacket.nsf.gov/ej/showProposal.do?ID="&amp;ckCodingTable[[#This Row],[prop_id]],"eJ")</f>
        <v>eJ</v>
      </c>
      <c r="W65" t="s">
        <v>742</v>
      </c>
      <c r="X65" t="s">
        <v>1347</v>
      </c>
      <c r="Y65" t="s">
        <v>1348</v>
      </c>
      <c r="Z65" t="s">
        <v>2266</v>
      </c>
      <c r="AA65" t="s">
        <v>2267</v>
      </c>
      <c r="AB65" s="113" t="str">
        <f>HYPERLINK("mailto:"&amp;ckCodingTable[[#This Row],[email]]&amp;"&amp;subject=Your NSF Proposal:  "&amp;ckCodingTable[[#This Row],[Div]]&amp;" "&amp;ckCodingTable[[#This Row],[prop_id]], ckCodingTable[[#This Row],[email]])</f>
        <v>plahiri@umd.edu</v>
      </c>
      <c r="AC65" s="30">
        <v>42979</v>
      </c>
      <c r="AD65">
        <v>36</v>
      </c>
      <c r="AE65">
        <v>1</v>
      </c>
      <c r="AG65" s="122"/>
      <c r="AH65" t="s">
        <v>2248</v>
      </c>
      <c r="AI65" s="26">
        <v>5.666666666666667</v>
      </c>
      <c r="AJ65" s="22">
        <v>42872.520833333336</v>
      </c>
      <c r="AL65">
        <v>3</v>
      </c>
      <c r="AN65" s="122"/>
      <c r="AO65" s="122"/>
      <c r="AP65" s="122"/>
      <c r="AQ65" s="122"/>
      <c r="AR65" s="123" t="str">
        <f>HYPERLINK("https://www.ejacket.nsf.gov/ej/showProposal.do?ID="&amp;ckCodingTable[[#This Row],[prop_id]],"eJ")</f>
        <v>eJ</v>
      </c>
      <c r="AS65" t="s">
        <v>1971</v>
      </c>
      <c r="AT65" t="s">
        <v>2268</v>
      </c>
      <c r="AU65" t="b">
        <f>IF(ckCodingTable[[#This Row],[ILN]]="N",SUBSTITUTE(AT64," ","")&lt;&gt;SUBSTITUTE(ckCodingTable[[#This Row],[prop_titl_txt]]," ",""), FALSE)</f>
        <v>0</v>
      </c>
      <c r="AV65">
        <v>0</v>
      </c>
      <c r="AW65" s="124">
        <v>1499984</v>
      </c>
      <c r="AX65" s="124">
        <v>1499984</v>
      </c>
      <c r="AY65" s="124"/>
      <c r="AZ65" s="124">
        <v>21000</v>
      </c>
      <c r="BA65" s="124"/>
      <c r="BB65" s="124"/>
      <c r="BC65">
        <v>15</v>
      </c>
      <c r="BD65">
        <v>24</v>
      </c>
      <c r="BE65">
        <v>13.5</v>
      </c>
      <c r="BG65">
        <v>9</v>
      </c>
      <c r="BH65">
        <v>0</v>
      </c>
      <c r="BI65">
        <v>0</v>
      </c>
      <c r="BJ65">
        <v>0</v>
      </c>
      <c r="BK65">
        <v>0</v>
      </c>
      <c r="BL65" t="s">
        <v>2269</v>
      </c>
    </row>
    <row r="66" spans="1:64">
      <c r="A66" s="30">
        <v>42956.382384259261</v>
      </c>
      <c r="B66" s="30">
        <v>42809.695833333331</v>
      </c>
      <c r="C66" t="s">
        <v>1965</v>
      </c>
      <c r="D66" t="s">
        <v>741</v>
      </c>
      <c r="E66" t="s">
        <v>901</v>
      </c>
      <c r="F66" t="s">
        <v>1966</v>
      </c>
      <c r="G66" t="s">
        <v>170</v>
      </c>
      <c r="H66" s="21" t="s">
        <v>94</v>
      </c>
      <c r="I66" s="86">
        <v>1</v>
      </c>
      <c r="J66" s="86">
        <v>0</v>
      </c>
      <c r="K66" t="s">
        <v>1967</v>
      </c>
      <c r="L66" t="s">
        <v>543</v>
      </c>
      <c r="M66" t="s">
        <v>2107</v>
      </c>
      <c r="N66" t="str">
        <f>IF(SUM(ckCodingTable[[#This Row],[NfmlPIs]:[NnonWhtAsnPIs]])&gt;0,"WMD","")</f>
        <v/>
      </c>
      <c r="O66" t="b">
        <f>_xlfn.XOR(IFERROR(MATCH(ckCodingTable[[#This Row],[st_code]],EpscorTable[],0)&gt;0,FALSE),IFERROR(FIND("9150",ckCodingTable[[#This Row],[propPRCs]])&gt;0,FALSE))</f>
        <v>0</v>
      </c>
      <c r="P66" s="21" t="b">
        <f>_xlfn.XOR(ckCodingTable[[#This Row],[wmd]]&lt;&gt;"",IFERROR(FIND("9102",ckCodingTable[[#This Row],[propPRCs]])&gt;0,FALSE))</f>
        <v>0</v>
      </c>
      <c r="Q66" t="s">
        <v>1968</v>
      </c>
      <c r="R66" s="22">
        <v>42951.621724537035</v>
      </c>
      <c r="S66" s="108">
        <f>S65+(ckCodingTable[[#This Row],[ILN]]&lt;"M")</f>
        <v>43</v>
      </c>
      <c r="T66" s="21" t="s">
        <v>96</v>
      </c>
      <c r="U66" t="s">
        <v>1355</v>
      </c>
      <c r="V66" s="7" t="str">
        <f>HYPERLINK("https://www.ejacket.nsf.gov/ej/showProposal.do?ID="&amp;ckCodingTable[[#This Row],[prop_id]],"eJ")</f>
        <v>eJ</v>
      </c>
      <c r="W66" t="s">
        <v>742</v>
      </c>
      <c r="X66" t="s">
        <v>1355</v>
      </c>
      <c r="Y66" t="s">
        <v>1356</v>
      </c>
      <c r="Z66" t="s">
        <v>2270</v>
      </c>
      <c r="AA66" t="s">
        <v>2271</v>
      </c>
      <c r="AB66" s="113" t="str">
        <f>HYPERLINK("mailto:"&amp;ckCodingTable[[#This Row],[email]]&amp;"&amp;subject=Your NSF Proposal:  "&amp;ckCodingTable[[#This Row],[Div]]&amp;" "&amp;ckCodingTable[[#This Row],[prop_id]], ckCodingTable[[#This Row],[email]])</f>
        <v>asampson@pitt.edu</v>
      </c>
      <c r="AC66" s="30">
        <v>42979</v>
      </c>
      <c r="AD66">
        <v>36</v>
      </c>
      <c r="AE66">
        <v>1</v>
      </c>
      <c r="AG66" s="122"/>
      <c r="AH66" t="s">
        <v>2272</v>
      </c>
      <c r="AI66" s="26">
        <v>5.666666666666667</v>
      </c>
      <c r="AJ66" s="22">
        <v>42877.04791666667</v>
      </c>
      <c r="AL66">
        <v>3</v>
      </c>
      <c r="AN66" s="122"/>
      <c r="AO66" s="122"/>
      <c r="AP66" s="122"/>
      <c r="AQ66" s="122"/>
      <c r="AR66" s="123" t="str">
        <f>HYPERLINK("https://www.ejacket.nsf.gov/ej/showProposal.do?ID="&amp;ckCodingTable[[#This Row],[prop_id]],"eJ")</f>
        <v>eJ</v>
      </c>
      <c r="AS66" t="s">
        <v>1971</v>
      </c>
      <c r="AT66" t="s">
        <v>2273</v>
      </c>
      <c r="AU66" t="b">
        <f>IF(ckCodingTable[[#This Row],[ILN]]="N",SUBSTITUTE(AT65," ","")&lt;&gt;SUBSTITUTE(ckCodingTable[[#This Row],[prop_titl_txt]]," ",""), FALSE)</f>
        <v>0</v>
      </c>
      <c r="AV66">
        <v>0</v>
      </c>
      <c r="AW66" s="124">
        <v>1412316</v>
      </c>
      <c r="AX66" s="124">
        <v>1412316</v>
      </c>
      <c r="AY66" s="124"/>
      <c r="AZ66" s="124"/>
      <c r="BA66" s="124">
        <v>204490</v>
      </c>
      <c r="BB66" s="124"/>
      <c r="BC66">
        <v>6</v>
      </c>
      <c r="BD66">
        <v>15</v>
      </c>
      <c r="BG66">
        <v>6</v>
      </c>
      <c r="BH66">
        <v>0</v>
      </c>
      <c r="BI66">
        <v>0</v>
      </c>
      <c r="BJ66">
        <v>0</v>
      </c>
      <c r="BK66">
        <v>1</v>
      </c>
      <c r="BL66" t="s">
        <v>2274</v>
      </c>
    </row>
    <row r="67" spans="1:64">
      <c r="A67" s="30">
        <v>42956.384513888886</v>
      </c>
      <c r="B67" s="30">
        <v>42809.700694444444</v>
      </c>
      <c r="C67" t="s">
        <v>1965</v>
      </c>
      <c r="D67" t="s">
        <v>741</v>
      </c>
      <c r="E67" t="s">
        <v>901</v>
      </c>
      <c r="F67" t="s">
        <v>1966</v>
      </c>
      <c r="G67" t="s">
        <v>170</v>
      </c>
      <c r="H67" s="21" t="s">
        <v>94</v>
      </c>
      <c r="I67" s="86">
        <v>1</v>
      </c>
      <c r="J67" s="86">
        <v>0</v>
      </c>
      <c r="K67" t="s">
        <v>1967</v>
      </c>
      <c r="L67" t="s">
        <v>543</v>
      </c>
      <c r="M67" t="s">
        <v>347</v>
      </c>
      <c r="N67" t="str">
        <f>IF(SUM(ckCodingTable[[#This Row],[NfmlPIs]:[NnonWhtAsnPIs]])&gt;0,"WMD","")</f>
        <v/>
      </c>
      <c r="O67" t="b">
        <f>_xlfn.XOR(IFERROR(MATCH(ckCodingTable[[#This Row],[st_code]],EpscorTable[],0)&gt;0,FALSE),IFERROR(FIND("9150",ckCodingTable[[#This Row],[propPRCs]])&gt;0,FALSE))</f>
        <v>0</v>
      </c>
      <c r="P67" s="21" t="b">
        <f>_xlfn.XOR(ckCodingTable[[#This Row],[wmd]]&lt;&gt;"",IFERROR(FIND("9102",ckCodingTable[[#This Row],[propPRCs]])&gt;0,FALSE))</f>
        <v>0</v>
      </c>
      <c r="Q67" t="s">
        <v>1968</v>
      </c>
      <c r="R67" s="22">
        <v>42951.541817129626</v>
      </c>
      <c r="S67" s="108">
        <f>S66+(ckCodingTable[[#This Row],[ILN]]&lt;"M")</f>
        <v>44</v>
      </c>
      <c r="T67" s="21" t="s">
        <v>96</v>
      </c>
      <c r="U67" t="s">
        <v>1363</v>
      </c>
      <c r="V67" s="7" t="str">
        <f>HYPERLINK("https://www.ejacket.nsf.gov/ej/showProposal.do?ID="&amp;ckCodingTable[[#This Row],[prop_id]],"eJ")</f>
        <v>eJ</v>
      </c>
      <c r="W67" t="s">
        <v>742</v>
      </c>
      <c r="X67" t="s">
        <v>1363</v>
      </c>
      <c r="Y67" t="s">
        <v>1364</v>
      </c>
      <c r="Z67" t="s">
        <v>2275</v>
      </c>
      <c r="AA67" t="s">
        <v>812</v>
      </c>
      <c r="AB67" s="113" t="str">
        <f>HYPERLINK("mailto:"&amp;ckCodingTable[[#This Row],[email]]&amp;"&amp;subject=Your NSF Proposal:  "&amp;ckCodingTable[[#This Row],[Div]]&amp;" "&amp;ckCodingTable[[#This Row],[prop_id]], ckCodingTable[[#This Row],[email]])</f>
        <v>ram@usf.edu</v>
      </c>
      <c r="AC67" s="30">
        <v>43101</v>
      </c>
      <c r="AD67">
        <v>36</v>
      </c>
      <c r="AE67">
        <v>1</v>
      </c>
      <c r="AG67" s="122"/>
      <c r="AH67" t="s">
        <v>2276</v>
      </c>
      <c r="AI67" s="26">
        <v>4</v>
      </c>
      <c r="AJ67" s="22">
        <v>42871.898611111108</v>
      </c>
      <c r="AL67">
        <v>5</v>
      </c>
      <c r="AN67" s="122"/>
      <c r="AO67" s="122"/>
      <c r="AP67" s="122"/>
      <c r="AQ67" s="122"/>
      <c r="AR67" s="123" t="str">
        <f>HYPERLINK("https://www.ejacket.nsf.gov/ej/showProposal.do?ID="&amp;ckCodingTable[[#This Row],[prop_id]],"eJ")</f>
        <v>eJ</v>
      </c>
      <c r="AS67" t="s">
        <v>1971</v>
      </c>
      <c r="AT67" t="s">
        <v>2277</v>
      </c>
      <c r="AU67" t="b">
        <f>IF(ckCodingTable[[#This Row],[ILN]]="N",SUBSTITUTE(AT66," ","")&lt;&gt;SUBSTITUTE(ckCodingTable[[#This Row],[prop_titl_txt]]," ",""), FALSE)</f>
        <v>0</v>
      </c>
      <c r="AV67">
        <v>0</v>
      </c>
      <c r="AW67" s="124">
        <v>1464858</v>
      </c>
      <c r="AX67" s="124">
        <v>1464858</v>
      </c>
      <c r="AY67" s="124"/>
      <c r="AZ67" s="124">
        <v>26500</v>
      </c>
      <c r="BA67" s="124"/>
      <c r="BB67" s="124">
        <v>68400</v>
      </c>
      <c r="BC67">
        <v>15</v>
      </c>
      <c r="BD67">
        <v>15</v>
      </c>
      <c r="BE67">
        <v>15</v>
      </c>
      <c r="BH67">
        <v>0</v>
      </c>
      <c r="BI67">
        <v>0</v>
      </c>
      <c r="BJ67">
        <v>0</v>
      </c>
      <c r="BK67">
        <v>0</v>
      </c>
      <c r="BL67" t="s">
        <v>2278</v>
      </c>
    </row>
    <row r="68" spans="1:64">
      <c r="A68" s="30">
        <v>42930.561608796299</v>
      </c>
      <c r="B68" s="30">
        <v>42809.702777777777</v>
      </c>
      <c r="C68" t="s">
        <v>1965</v>
      </c>
      <c r="D68" t="s">
        <v>741</v>
      </c>
      <c r="E68" t="s">
        <v>901</v>
      </c>
      <c r="F68" t="s">
        <v>1974</v>
      </c>
      <c r="G68" t="s">
        <v>170</v>
      </c>
      <c r="H68" s="21" t="s">
        <v>94</v>
      </c>
      <c r="I68" s="86">
        <v>1</v>
      </c>
      <c r="J68" s="86">
        <v>0</v>
      </c>
      <c r="K68" t="s">
        <v>1967</v>
      </c>
      <c r="L68" t="s">
        <v>942</v>
      </c>
      <c r="M68" t="s">
        <v>258</v>
      </c>
      <c r="N68" t="str">
        <f>IF(SUM(ckCodingTable[[#This Row],[NfmlPIs]:[NnonWhtAsnPIs]])&gt;0,"WMD","")</f>
        <v/>
      </c>
      <c r="O68" t="b">
        <f>_xlfn.XOR(IFERROR(MATCH(ckCodingTable[[#This Row],[st_code]],EpscorTable[],0)&gt;0,FALSE),IFERROR(FIND("9150",ckCodingTable[[#This Row],[propPRCs]])&gt;0,FALSE))</f>
        <v>0</v>
      </c>
      <c r="P68" s="21" t="b">
        <f>_xlfn.XOR(ckCodingTable[[#This Row],[wmd]]&lt;&gt;"",IFERROR(FIND("9102",ckCodingTable[[#This Row],[propPRCs]])&gt;0,FALSE))</f>
        <v>0</v>
      </c>
      <c r="Q68" t="s">
        <v>1968</v>
      </c>
      <c r="R68" s="22">
        <v>42929.336412037039</v>
      </c>
      <c r="S68" s="108">
        <f>S67+(ckCodingTable[[#This Row],[ILN]]&lt;"M")</f>
        <v>45</v>
      </c>
      <c r="T68" s="21" t="s">
        <v>96</v>
      </c>
      <c r="U68" t="s">
        <v>1372</v>
      </c>
      <c r="V68" s="7" t="str">
        <f>HYPERLINK("https://www.ejacket.nsf.gov/ej/showProposal.do?ID="&amp;ckCodingTable[[#This Row],[prop_id]],"eJ")</f>
        <v>eJ</v>
      </c>
      <c r="W68" t="s">
        <v>742</v>
      </c>
      <c r="X68" t="s">
        <v>1372</v>
      </c>
      <c r="Y68" t="s">
        <v>1053</v>
      </c>
      <c r="Z68" t="s">
        <v>2095</v>
      </c>
      <c r="AA68" t="s">
        <v>2101</v>
      </c>
      <c r="AB68" s="113" t="str">
        <f>HYPERLINK("mailto:"&amp;ckCodingTable[[#This Row],[email]]&amp;"&amp;subject=Your NSF Proposal:  "&amp;ckCodingTable[[#This Row],[Div]]&amp;" "&amp;ckCodingTable[[#This Row],[prop_id]], ckCodingTable[[#This Row],[email]])</f>
        <v>jw2966@columbia.edu</v>
      </c>
      <c r="AC68" s="30">
        <v>42979</v>
      </c>
      <c r="AD68">
        <v>36</v>
      </c>
      <c r="AE68">
        <v>1</v>
      </c>
      <c r="AG68" s="122"/>
      <c r="AH68" t="s">
        <v>2279</v>
      </c>
      <c r="AI68" s="26">
        <v>7</v>
      </c>
      <c r="AJ68" s="22">
        <v>42872.532638888886</v>
      </c>
      <c r="AL68">
        <v>3</v>
      </c>
      <c r="AN68" s="122"/>
      <c r="AO68" s="122"/>
      <c r="AP68" s="122"/>
      <c r="AQ68" s="122"/>
      <c r="AR68" s="123" t="str">
        <f>HYPERLINK("https://www.ejacket.nsf.gov/ej/showProposal.do?ID="&amp;ckCodingTable[[#This Row],[prop_id]],"eJ")</f>
        <v>eJ</v>
      </c>
      <c r="AS68" t="s">
        <v>1977</v>
      </c>
      <c r="AT68" t="s">
        <v>2280</v>
      </c>
      <c r="AU68" t="b">
        <f>IF(ckCodingTable[[#This Row],[ILN]]="N",SUBSTITUTE(AT67," ","")&lt;&gt;SUBSTITUTE(ckCodingTable[[#This Row],[prop_titl_txt]]," ",""), FALSE)</f>
        <v>0</v>
      </c>
      <c r="AV68">
        <v>0</v>
      </c>
      <c r="AW68" s="124">
        <v>1500000</v>
      </c>
      <c r="AX68" s="124">
        <v>1500000</v>
      </c>
      <c r="AY68" s="124"/>
      <c r="AZ68" s="124"/>
      <c r="BA68" s="124">
        <v>185454</v>
      </c>
      <c r="BB68" s="124">
        <v>32274</v>
      </c>
      <c r="BC68">
        <v>6</v>
      </c>
      <c r="BD68">
        <v>15</v>
      </c>
      <c r="BE68">
        <v>3.75</v>
      </c>
      <c r="BH68">
        <v>0</v>
      </c>
      <c r="BI68">
        <v>0</v>
      </c>
      <c r="BJ68">
        <v>0</v>
      </c>
      <c r="BK68">
        <v>0</v>
      </c>
      <c r="BL68" t="s">
        <v>2281</v>
      </c>
    </row>
    <row r="69" spans="1:64">
      <c r="A69" s="30">
        <v>42934.468009259261</v>
      </c>
      <c r="B69" s="30">
        <v>42809.705555555556</v>
      </c>
      <c r="C69" t="s">
        <v>1965</v>
      </c>
      <c r="D69" t="s">
        <v>741</v>
      </c>
      <c r="E69" t="s">
        <v>901</v>
      </c>
      <c r="F69" t="s">
        <v>1966</v>
      </c>
      <c r="G69" t="s">
        <v>170</v>
      </c>
      <c r="H69" s="21" t="s">
        <v>94</v>
      </c>
      <c r="I69" s="86">
        <v>1</v>
      </c>
      <c r="J69" s="86">
        <v>0</v>
      </c>
      <c r="K69" t="s">
        <v>1967</v>
      </c>
      <c r="L69" t="s">
        <v>540</v>
      </c>
      <c r="M69" t="s">
        <v>2207</v>
      </c>
      <c r="N69" t="str">
        <f>IF(SUM(ckCodingTable[[#This Row],[NfmlPIs]:[NnonWhtAsnPIs]])&gt;0,"WMD","")</f>
        <v>WMD</v>
      </c>
      <c r="O69" t="b">
        <f>_xlfn.XOR(IFERROR(MATCH(ckCodingTable[[#This Row],[st_code]],EpscorTable[],0)&gt;0,FALSE),IFERROR(FIND("9150",ckCodingTable[[#This Row],[propPRCs]])&gt;0,FALSE))</f>
        <v>0</v>
      </c>
      <c r="P69" s="21" t="b">
        <f>_xlfn.XOR(ckCodingTable[[#This Row],[wmd]]&lt;&gt;"",IFERROR(FIND("9102",ckCodingTable[[#This Row],[propPRCs]])&gt;0,FALSE))</f>
        <v>0</v>
      </c>
      <c r="Q69" t="s">
        <v>2007</v>
      </c>
      <c r="R69" s="22">
        <v>42920.135023148148</v>
      </c>
      <c r="S69" s="108">
        <f>S68+(ckCodingTable[[#This Row],[ILN]]&lt;"M")</f>
        <v>46</v>
      </c>
      <c r="T69" s="21" t="s">
        <v>96</v>
      </c>
      <c r="U69" t="s">
        <v>1380</v>
      </c>
      <c r="V69" s="7" t="str">
        <f>HYPERLINK("https://www.ejacket.nsf.gov/ej/showProposal.do?ID="&amp;ckCodingTable[[#This Row],[prop_id]],"eJ")</f>
        <v>eJ</v>
      </c>
      <c r="W69" t="s">
        <v>742</v>
      </c>
      <c r="X69" t="s">
        <v>1380</v>
      </c>
      <c r="Y69" t="s">
        <v>1381</v>
      </c>
      <c r="Z69" t="s">
        <v>2282</v>
      </c>
      <c r="AA69" t="s">
        <v>2283</v>
      </c>
      <c r="AB69" s="113" t="str">
        <f>HYPERLINK("mailto:"&amp;ckCodingTable[[#This Row],[email]]&amp;"&amp;subject=Your NSF Proposal:  "&amp;ckCodingTable[[#This Row],[Div]]&amp;" "&amp;ckCodingTable[[#This Row],[prop_id]], ckCodingTable[[#This Row],[email]])</f>
        <v>mischaik@math.rutgers.edu</v>
      </c>
      <c r="AC69" s="30">
        <v>43009</v>
      </c>
      <c r="AD69">
        <v>36</v>
      </c>
      <c r="AE69">
        <v>1</v>
      </c>
      <c r="AG69" s="122"/>
      <c r="AH69" t="s">
        <v>2164</v>
      </c>
      <c r="AI69" s="26">
        <v>6</v>
      </c>
      <c r="AJ69" s="22">
        <v>42870.822916666664</v>
      </c>
      <c r="AK69" s="22">
        <v>2</v>
      </c>
      <c r="AL69">
        <v>3</v>
      </c>
      <c r="AN69" s="122"/>
      <c r="AO69" s="122"/>
      <c r="AP69" s="122"/>
      <c r="AQ69" s="122"/>
      <c r="AR69" s="123" t="str">
        <f>HYPERLINK("https://www.ejacket.nsf.gov/ej/showProposal.do?ID="&amp;ckCodingTable[[#This Row],[prop_id]],"eJ")</f>
        <v>eJ</v>
      </c>
      <c r="AS69" t="s">
        <v>1971</v>
      </c>
      <c r="AT69" t="s">
        <v>2284</v>
      </c>
      <c r="AU69" t="b">
        <f>IF(ckCodingTable[[#This Row],[ILN]]="N",SUBSTITUTE(AT68," ","")&lt;&gt;SUBSTITUTE(ckCodingTable[[#This Row],[prop_titl_txt]]," ",""), FALSE)</f>
        <v>0</v>
      </c>
      <c r="AV69">
        <v>0</v>
      </c>
      <c r="AW69" s="124">
        <v>1499998</v>
      </c>
      <c r="AX69" s="124">
        <v>1499998</v>
      </c>
      <c r="AY69" s="124"/>
      <c r="AZ69" s="124"/>
      <c r="BA69" s="124"/>
      <c r="BB69" s="124">
        <v>801248</v>
      </c>
      <c r="BD69">
        <v>12</v>
      </c>
      <c r="BE69">
        <v>2</v>
      </c>
      <c r="BF69">
        <v>4.4000000000000004</v>
      </c>
      <c r="BG69">
        <v>0.3</v>
      </c>
      <c r="BH69">
        <v>2</v>
      </c>
      <c r="BI69">
        <v>0</v>
      </c>
      <c r="BJ69">
        <v>0</v>
      </c>
      <c r="BK69">
        <v>0</v>
      </c>
      <c r="BL69" t="s">
        <v>2285</v>
      </c>
    </row>
    <row r="70" spans="1:64">
      <c r="A70" s="30">
        <v>42956.385439814818</v>
      </c>
      <c r="B70" s="30">
        <v>42809.706250000003</v>
      </c>
      <c r="C70" t="s">
        <v>1965</v>
      </c>
      <c r="D70" t="s">
        <v>741</v>
      </c>
      <c r="E70" t="s">
        <v>901</v>
      </c>
      <c r="F70" t="s">
        <v>1966</v>
      </c>
      <c r="G70" t="s">
        <v>170</v>
      </c>
      <c r="H70" s="21" t="s">
        <v>94</v>
      </c>
      <c r="I70" s="86">
        <v>1</v>
      </c>
      <c r="J70" s="86">
        <v>0</v>
      </c>
      <c r="K70" t="s">
        <v>1967</v>
      </c>
      <c r="L70" t="s">
        <v>543</v>
      </c>
      <c r="M70" t="s">
        <v>257</v>
      </c>
      <c r="N70" t="str">
        <f>IF(SUM(ckCodingTable[[#This Row],[NfmlPIs]:[NnonWhtAsnPIs]])&gt;0,"WMD","")</f>
        <v/>
      </c>
      <c r="O70" t="b">
        <f>_xlfn.XOR(IFERROR(MATCH(ckCodingTable[[#This Row],[st_code]],EpscorTable[],0)&gt;0,FALSE),IFERROR(FIND("9150",ckCodingTable[[#This Row],[propPRCs]])&gt;0,FALSE))</f>
        <v>0</v>
      </c>
      <c r="P70" s="21" t="b">
        <f>_xlfn.XOR(ckCodingTable[[#This Row],[wmd]]&lt;&gt;"",IFERROR(FIND("9102",ckCodingTable[[#This Row],[propPRCs]])&gt;0,FALSE))</f>
        <v>0</v>
      </c>
      <c r="Q70" t="s">
        <v>1968</v>
      </c>
      <c r="R70" s="22">
        <v>42951.589386574073</v>
      </c>
      <c r="S70" s="108">
        <f>S69+(ckCodingTable[[#This Row],[ILN]]&lt;"M")</f>
        <v>47</v>
      </c>
      <c r="T70" s="21" t="s">
        <v>96</v>
      </c>
      <c r="U70" t="s">
        <v>1389</v>
      </c>
      <c r="V70" s="7" t="str">
        <f>HYPERLINK("https://www.ejacket.nsf.gov/ej/showProposal.do?ID="&amp;ckCodingTable[[#This Row],[prop_id]],"eJ")</f>
        <v>eJ</v>
      </c>
      <c r="W70" t="s">
        <v>742</v>
      </c>
      <c r="X70" t="s">
        <v>1389</v>
      </c>
      <c r="Y70" t="s">
        <v>1390</v>
      </c>
      <c r="Z70" t="s">
        <v>2286</v>
      </c>
      <c r="AA70" t="s">
        <v>2287</v>
      </c>
      <c r="AB70" s="113" t="str">
        <f>HYPERLINK("mailto:"&amp;ckCodingTable[[#This Row],[email]]&amp;"&amp;subject=Your NSF Proposal:  "&amp;ckCodingTable[[#This Row],[Div]]&amp;" "&amp;ckCodingTable[[#This Row],[prop_id]], ckCodingTable[[#This Row],[email]])</f>
        <v>orecchia@bu.edu</v>
      </c>
      <c r="AC70" s="30">
        <v>43101</v>
      </c>
      <c r="AD70">
        <v>36</v>
      </c>
      <c r="AE70">
        <v>1</v>
      </c>
      <c r="AG70" s="122"/>
      <c r="AH70" t="s">
        <v>834</v>
      </c>
      <c r="AI70" s="26">
        <v>4.666666666666667</v>
      </c>
      <c r="AJ70" s="22">
        <v>42873.52847222222</v>
      </c>
      <c r="AK70" s="22">
        <v>2</v>
      </c>
      <c r="AL70">
        <v>3</v>
      </c>
      <c r="AN70" s="122"/>
      <c r="AO70" s="122"/>
      <c r="AP70" s="122"/>
      <c r="AQ70" s="122"/>
      <c r="AR70" s="123" t="str">
        <f>HYPERLINK("https://www.ejacket.nsf.gov/ej/showProposal.do?ID="&amp;ckCodingTable[[#This Row],[prop_id]],"eJ")</f>
        <v>eJ</v>
      </c>
      <c r="AS70" t="s">
        <v>1971</v>
      </c>
      <c r="AT70" t="s">
        <v>2288</v>
      </c>
      <c r="AU70" t="b">
        <f>IF(ckCodingTable[[#This Row],[ILN]]="N",SUBSTITUTE(AT69," ","")&lt;&gt;SUBSTITUTE(ckCodingTable[[#This Row],[prop_titl_txt]]," ",""), FALSE)</f>
        <v>0</v>
      </c>
      <c r="AV70">
        <v>0</v>
      </c>
      <c r="AW70" s="124">
        <v>1493907</v>
      </c>
      <c r="AX70" s="124">
        <v>1493907</v>
      </c>
      <c r="AY70" s="124"/>
      <c r="AZ70" s="124"/>
      <c r="BA70" s="124"/>
      <c r="BB70" s="124">
        <v>956970</v>
      </c>
      <c r="BD70">
        <v>30</v>
      </c>
      <c r="BE70">
        <v>7.35</v>
      </c>
      <c r="BH70">
        <v>0</v>
      </c>
      <c r="BI70">
        <v>0</v>
      </c>
      <c r="BJ70">
        <v>0</v>
      </c>
      <c r="BK70">
        <v>0</v>
      </c>
      <c r="BL70" t="s">
        <v>2289</v>
      </c>
    </row>
    <row r="71" spans="1:64">
      <c r="A71" s="30">
        <v>42955.68005787037</v>
      </c>
      <c r="B71" s="30">
        <v>42809.708333333336</v>
      </c>
      <c r="C71" t="s">
        <v>1965</v>
      </c>
      <c r="D71" t="s">
        <v>741</v>
      </c>
      <c r="E71" t="s">
        <v>901</v>
      </c>
      <c r="F71" t="s">
        <v>1966</v>
      </c>
      <c r="G71" t="s">
        <v>170</v>
      </c>
      <c r="H71" s="21" t="s">
        <v>94</v>
      </c>
      <c r="I71" s="86">
        <v>1</v>
      </c>
      <c r="J71" s="86">
        <v>0</v>
      </c>
      <c r="K71" t="s">
        <v>1967</v>
      </c>
      <c r="L71" t="s">
        <v>948</v>
      </c>
      <c r="M71" t="s">
        <v>340</v>
      </c>
      <c r="N71" t="str">
        <f>IF(SUM(ckCodingTable[[#This Row],[NfmlPIs]:[NnonWhtAsnPIs]])&gt;0,"WMD","")</f>
        <v>WMD</v>
      </c>
      <c r="O71" t="b">
        <f>_xlfn.XOR(IFERROR(MATCH(ckCodingTable[[#This Row],[st_code]],EpscorTable[],0)&gt;0,FALSE),IFERROR(FIND("9150",ckCodingTable[[#This Row],[propPRCs]])&gt;0,FALSE))</f>
        <v>0</v>
      </c>
      <c r="P71" s="21" t="b">
        <f>_xlfn.XOR(ckCodingTable[[#This Row],[wmd]]&lt;&gt;"",IFERROR(FIND("9102",ckCodingTable[[#This Row],[propPRCs]])&gt;0,FALSE))</f>
        <v>0</v>
      </c>
      <c r="Q71" t="s">
        <v>2007</v>
      </c>
      <c r="R71" s="22">
        <v>42955.570798611108</v>
      </c>
      <c r="S71" s="108">
        <f>S70+(ckCodingTable[[#This Row],[ILN]]&lt;"M")</f>
        <v>48</v>
      </c>
      <c r="T71" s="21" t="s">
        <v>96</v>
      </c>
      <c r="U71" t="s">
        <v>1395</v>
      </c>
      <c r="V71" s="7" t="str">
        <f>HYPERLINK("https://www.ejacket.nsf.gov/ej/showProposal.do?ID="&amp;ckCodingTable[[#This Row],[prop_id]],"eJ")</f>
        <v>eJ</v>
      </c>
      <c r="W71" t="s">
        <v>742</v>
      </c>
      <c r="X71" t="s">
        <v>1395</v>
      </c>
      <c r="Y71" t="s">
        <v>1396</v>
      </c>
      <c r="Z71" t="s">
        <v>2290</v>
      </c>
      <c r="AA71" t="s">
        <v>2291</v>
      </c>
      <c r="AB71" s="113" t="str">
        <f>HYPERLINK("mailto:"&amp;ckCodingTable[[#This Row],[email]]&amp;"&amp;subject=Your NSF Proposal:  "&amp;ckCodingTable[[#This Row],[Div]]&amp;" "&amp;ckCodingTable[[#This Row],[prop_id]], ckCodingTable[[#This Row],[email]])</f>
        <v>tanyabw@uic.edu</v>
      </c>
      <c r="AC71" s="30">
        <v>43236</v>
      </c>
      <c r="AD71">
        <v>36</v>
      </c>
      <c r="AE71">
        <v>1</v>
      </c>
      <c r="AG71" s="122"/>
      <c r="AH71" t="s">
        <v>1984</v>
      </c>
      <c r="AI71" s="26">
        <v>4.333333333333333</v>
      </c>
      <c r="AJ71" s="22">
        <v>42876.959027777775</v>
      </c>
      <c r="AK71" s="22">
        <v>1</v>
      </c>
      <c r="AL71">
        <v>3</v>
      </c>
      <c r="AN71" s="122"/>
      <c r="AO71" s="122"/>
      <c r="AP71" s="122"/>
      <c r="AQ71" s="122"/>
      <c r="AR71" s="123" t="str">
        <f>HYPERLINK("https://www.ejacket.nsf.gov/ej/showProposal.do?ID="&amp;ckCodingTable[[#This Row],[prop_id]],"eJ")</f>
        <v>eJ</v>
      </c>
      <c r="AS71" t="s">
        <v>1971</v>
      </c>
      <c r="AT71" t="s">
        <v>2292</v>
      </c>
      <c r="AU71" t="b">
        <f>IF(ckCodingTable[[#This Row],[ILN]]="N",SUBSTITUTE(AT70," ","")&lt;&gt;SUBSTITUTE(ckCodingTable[[#This Row],[prop_titl_txt]]," ",""), FALSE)</f>
        <v>0</v>
      </c>
      <c r="AV71">
        <v>1</v>
      </c>
      <c r="AW71" s="124">
        <v>1500000</v>
      </c>
      <c r="AX71" s="124">
        <v>1500000</v>
      </c>
      <c r="AY71" s="124"/>
      <c r="AZ71" s="124">
        <v>40596</v>
      </c>
      <c r="BA71" s="124">
        <v>77273</v>
      </c>
      <c r="BB71" s="124"/>
      <c r="BC71">
        <v>12</v>
      </c>
      <c r="BD71">
        <v>12</v>
      </c>
      <c r="BE71">
        <v>7.92</v>
      </c>
      <c r="BH71">
        <v>1</v>
      </c>
      <c r="BI71">
        <v>0</v>
      </c>
      <c r="BJ71">
        <v>0</v>
      </c>
      <c r="BK71">
        <v>0</v>
      </c>
      <c r="BL71" t="s">
        <v>2293</v>
      </c>
    </row>
    <row r="72" spans="1:64">
      <c r="A72" s="30">
        <v>42955.718252314815</v>
      </c>
      <c r="B72" s="30">
        <v>42809.71597222222</v>
      </c>
      <c r="C72" t="s">
        <v>1965</v>
      </c>
      <c r="D72" t="s">
        <v>741</v>
      </c>
      <c r="E72" t="s">
        <v>901</v>
      </c>
      <c r="F72" t="s">
        <v>1966</v>
      </c>
      <c r="G72" t="s">
        <v>170</v>
      </c>
      <c r="H72" s="21" t="s">
        <v>94</v>
      </c>
      <c r="I72" s="86">
        <v>1</v>
      </c>
      <c r="J72" s="86">
        <v>0</v>
      </c>
      <c r="K72" t="s">
        <v>1967</v>
      </c>
      <c r="L72" t="s">
        <v>942</v>
      </c>
      <c r="M72" t="s">
        <v>340</v>
      </c>
      <c r="N72" t="str">
        <f>IF(SUM(ckCodingTable[[#This Row],[NfmlPIs]:[NnonWhtAsnPIs]])&gt;0,"WMD","")</f>
        <v>WMD</v>
      </c>
      <c r="O72" t="b">
        <f>_xlfn.XOR(IFERROR(MATCH(ckCodingTable[[#This Row],[st_code]],EpscorTable[],0)&gt;0,FALSE),IFERROR(FIND("9150",ckCodingTable[[#This Row],[propPRCs]])&gt;0,FALSE))</f>
        <v>0</v>
      </c>
      <c r="P72" s="21" t="b">
        <f>_xlfn.XOR(ckCodingTable[[#This Row],[wmd]]&lt;&gt;"",IFERROR(FIND("9102",ckCodingTable[[#This Row],[propPRCs]])&gt;0,FALSE))</f>
        <v>1</v>
      </c>
      <c r="Q72" t="s">
        <v>1968</v>
      </c>
      <c r="R72" s="22">
        <v>42954.395752314813</v>
      </c>
      <c r="S72" s="108">
        <f>S71+(ckCodingTable[[#This Row],[ILN]]&lt;"M")</f>
        <v>49</v>
      </c>
      <c r="T72" s="21" t="s">
        <v>96</v>
      </c>
      <c r="U72" t="s">
        <v>1403</v>
      </c>
      <c r="V72" s="7" t="str">
        <f>HYPERLINK("https://www.ejacket.nsf.gov/ej/showProposal.do?ID="&amp;ckCodingTable[[#This Row],[prop_id]],"eJ")</f>
        <v>eJ</v>
      </c>
      <c r="W72" t="s">
        <v>742</v>
      </c>
      <c r="X72" t="s">
        <v>1403</v>
      </c>
      <c r="Y72" t="s">
        <v>1404</v>
      </c>
      <c r="Z72" t="s">
        <v>2294</v>
      </c>
      <c r="AA72" t="s">
        <v>339</v>
      </c>
      <c r="AB72" s="113" t="str">
        <f>HYPERLINK("mailto:"&amp;ckCodingTable[[#This Row],[email]]&amp;"&amp;subject=Your NSF Proposal:  "&amp;ckCodingTable[[#This Row],[Div]]&amp;" "&amp;ckCodingTable[[#This Row],[prop_id]], ckCodingTable[[#This Row],[email]])</f>
        <v>ybresler@illinois.edu</v>
      </c>
      <c r="AC72" s="30">
        <v>43009</v>
      </c>
      <c r="AD72">
        <v>36</v>
      </c>
      <c r="AE72">
        <v>1</v>
      </c>
      <c r="AF72">
        <v>1</v>
      </c>
      <c r="AG72" s="122"/>
      <c r="AH72" t="s">
        <v>1984</v>
      </c>
      <c r="AI72" s="26">
        <v>4.333333333333333</v>
      </c>
      <c r="AJ72" s="22">
        <v>42878.55</v>
      </c>
      <c r="AL72">
        <v>3</v>
      </c>
      <c r="AN72" s="122"/>
      <c r="AO72" s="122"/>
      <c r="AP72" s="122"/>
      <c r="AQ72" s="122"/>
      <c r="AR72" s="123" t="str">
        <f>HYPERLINK("https://www.ejacket.nsf.gov/ej/showProposal.do?ID="&amp;ckCodingTable[[#This Row],[prop_id]],"eJ")</f>
        <v>eJ</v>
      </c>
      <c r="AS72" t="s">
        <v>1971</v>
      </c>
      <c r="AT72" t="s">
        <v>2295</v>
      </c>
      <c r="AU72" t="b">
        <f>IF(ckCodingTable[[#This Row],[ILN]]="N",SUBSTITUTE(AT71," ","")&lt;&gt;SUBSTITUTE(ckCodingTable[[#This Row],[prop_titl_txt]]," ",""), FALSE)</f>
        <v>0</v>
      </c>
      <c r="AV72">
        <v>0</v>
      </c>
      <c r="AW72" s="124">
        <v>1500000</v>
      </c>
      <c r="AX72" s="124">
        <v>1500000</v>
      </c>
      <c r="AY72" s="124"/>
      <c r="AZ72" s="124"/>
      <c r="BA72" s="124"/>
      <c r="BB72" s="124"/>
      <c r="BC72">
        <v>24</v>
      </c>
      <c r="BD72">
        <v>24</v>
      </c>
      <c r="BE72">
        <v>16.8</v>
      </c>
      <c r="BH72">
        <v>2</v>
      </c>
      <c r="BI72">
        <v>0</v>
      </c>
      <c r="BJ72">
        <v>0</v>
      </c>
      <c r="BK72">
        <v>1</v>
      </c>
      <c r="BL72" t="s">
        <v>2296</v>
      </c>
    </row>
    <row r="73" spans="1:64">
      <c r="A73" s="30">
        <v>42955.719560185185</v>
      </c>
      <c r="B73" s="30">
        <v>42809.719444444447</v>
      </c>
      <c r="C73" t="s">
        <v>1965</v>
      </c>
      <c r="D73" t="s">
        <v>741</v>
      </c>
      <c r="E73" t="s">
        <v>901</v>
      </c>
      <c r="F73" t="s">
        <v>1966</v>
      </c>
      <c r="G73" t="s">
        <v>170</v>
      </c>
      <c r="H73" s="21" t="s">
        <v>94</v>
      </c>
      <c r="I73" s="86">
        <v>1</v>
      </c>
      <c r="J73" s="86">
        <v>0</v>
      </c>
      <c r="K73" t="s">
        <v>1967</v>
      </c>
      <c r="L73" t="s">
        <v>942</v>
      </c>
      <c r="M73" t="s">
        <v>254</v>
      </c>
      <c r="N73" t="str">
        <f>IF(SUM(ckCodingTable[[#This Row],[NfmlPIs]:[NnonWhtAsnPIs]])&gt;0,"WMD","")</f>
        <v>WMD</v>
      </c>
      <c r="O73" t="b">
        <f>_xlfn.XOR(IFERROR(MATCH(ckCodingTable[[#This Row],[st_code]],EpscorTable[],0)&gt;0,FALSE),IFERROR(FIND("9150",ckCodingTable[[#This Row],[propPRCs]])&gt;0,FALSE))</f>
        <v>0</v>
      </c>
      <c r="P73" s="21" t="b">
        <f>_xlfn.XOR(ckCodingTable[[#This Row],[wmd]]&lt;&gt;"",IFERROR(FIND("9102",ckCodingTable[[#This Row],[propPRCs]])&gt;0,FALSE))</f>
        <v>1</v>
      </c>
      <c r="Q73" t="s">
        <v>1968</v>
      </c>
      <c r="R73" s="22">
        <v>42954.395972222221</v>
      </c>
      <c r="S73" s="108">
        <f>S72+(ckCodingTable[[#This Row],[ILN]]&lt;"M")</f>
        <v>50</v>
      </c>
      <c r="T73" s="21" t="s">
        <v>96</v>
      </c>
      <c r="U73" t="s">
        <v>1410</v>
      </c>
      <c r="V73" s="7" t="str">
        <f>HYPERLINK("https://www.ejacket.nsf.gov/ej/showProposal.do?ID="&amp;ckCodingTable[[#This Row],[prop_id]],"eJ")</f>
        <v>eJ</v>
      </c>
      <c r="W73" t="s">
        <v>742</v>
      </c>
      <c r="X73" t="s">
        <v>1410</v>
      </c>
      <c r="Y73" t="s">
        <v>1411</v>
      </c>
      <c r="Z73" t="s">
        <v>2297</v>
      </c>
      <c r="AA73" t="s">
        <v>2298</v>
      </c>
      <c r="AB73" s="113" t="str">
        <f>HYPERLINK("mailto:"&amp;ckCodingTable[[#This Row],[email]]&amp;"&amp;subject=Your NSF Proposal:  "&amp;ckCodingTable[[#This Row],[Div]]&amp;" "&amp;ckCodingTable[[#This Row],[prop_id]], ckCodingTable[[#This Row],[email]])</f>
        <v>jay.bayne@marquette.edu</v>
      </c>
      <c r="AC73" s="30">
        <v>43101</v>
      </c>
      <c r="AD73">
        <v>36</v>
      </c>
      <c r="AE73">
        <v>1</v>
      </c>
      <c r="AF73">
        <v>1</v>
      </c>
      <c r="AG73" s="122"/>
      <c r="AH73" t="s">
        <v>2082</v>
      </c>
      <c r="AI73" s="26">
        <v>1.6666666666666667</v>
      </c>
      <c r="AJ73" s="22">
        <v>42878.45208333333</v>
      </c>
      <c r="AL73">
        <v>3</v>
      </c>
      <c r="AN73" s="122"/>
      <c r="AO73" s="122"/>
      <c r="AP73" s="122"/>
      <c r="AQ73" s="122"/>
      <c r="AR73" s="123" t="str">
        <f>HYPERLINK("https://www.ejacket.nsf.gov/ej/showProposal.do?ID="&amp;ckCodingTable[[#This Row],[prop_id]],"eJ")</f>
        <v>eJ</v>
      </c>
      <c r="AS73" t="s">
        <v>1971</v>
      </c>
      <c r="AT73" t="s">
        <v>2299</v>
      </c>
      <c r="AU73" t="b">
        <f>IF(ckCodingTable[[#This Row],[ILN]]="N",SUBSTITUTE(AT72," ","")&lt;&gt;SUBSTITUTE(ckCodingTable[[#This Row],[prop_titl_txt]]," ",""), FALSE)</f>
        <v>0</v>
      </c>
      <c r="AV73">
        <v>0</v>
      </c>
      <c r="AW73" s="124">
        <v>1486183</v>
      </c>
      <c r="AX73" s="124">
        <v>1486183</v>
      </c>
      <c r="AY73" s="124"/>
      <c r="AZ73" s="124"/>
      <c r="BA73" s="124"/>
      <c r="BB73" s="124"/>
      <c r="BC73">
        <v>6</v>
      </c>
      <c r="BD73">
        <v>11</v>
      </c>
      <c r="BE73">
        <v>16</v>
      </c>
      <c r="BG73">
        <v>18</v>
      </c>
      <c r="BH73">
        <v>0</v>
      </c>
      <c r="BI73">
        <v>2</v>
      </c>
      <c r="BJ73">
        <v>0</v>
      </c>
      <c r="BK73">
        <v>0</v>
      </c>
      <c r="BL73" t="s">
        <v>2300</v>
      </c>
    </row>
    <row r="74" spans="1:64">
      <c r="A74" s="30">
        <v>42955.72016203704</v>
      </c>
      <c r="B74" s="30">
        <v>42809.723611111112</v>
      </c>
      <c r="C74" t="s">
        <v>1965</v>
      </c>
      <c r="D74" t="s">
        <v>741</v>
      </c>
      <c r="E74" t="s">
        <v>901</v>
      </c>
      <c r="F74" t="s">
        <v>1966</v>
      </c>
      <c r="G74" t="s">
        <v>170</v>
      </c>
      <c r="H74" s="21" t="s">
        <v>94</v>
      </c>
      <c r="I74" s="86">
        <v>1</v>
      </c>
      <c r="J74" s="86">
        <v>0</v>
      </c>
      <c r="K74" t="s">
        <v>1967</v>
      </c>
      <c r="L74" t="s">
        <v>942</v>
      </c>
      <c r="M74" t="s">
        <v>109</v>
      </c>
      <c r="N74" t="str">
        <f>IF(SUM(ckCodingTable[[#This Row],[NfmlPIs]:[NnonWhtAsnPIs]])&gt;0,"WMD","")</f>
        <v>WMD</v>
      </c>
      <c r="O74" t="b">
        <f>_xlfn.XOR(IFERROR(MATCH(ckCodingTable[[#This Row],[st_code]],EpscorTable[],0)&gt;0,FALSE),IFERROR(FIND("9150",ckCodingTable[[#This Row],[propPRCs]])&gt;0,FALSE))</f>
        <v>0</v>
      </c>
      <c r="P74" s="21" t="b">
        <f>_xlfn.XOR(ckCodingTable[[#This Row],[wmd]]&lt;&gt;"",IFERROR(FIND("9102",ckCodingTable[[#This Row],[propPRCs]])&gt;0,FALSE))</f>
        <v>1</v>
      </c>
      <c r="Q74" t="s">
        <v>1995</v>
      </c>
      <c r="R74" s="22">
        <v>42954.397997685184</v>
      </c>
      <c r="S74" s="108">
        <f>S73+(ckCodingTable[[#This Row],[ILN]]&lt;"M")</f>
        <v>51</v>
      </c>
      <c r="T74" s="21" t="s">
        <v>96</v>
      </c>
      <c r="U74" t="s">
        <v>1416</v>
      </c>
      <c r="V74" s="7" t="str">
        <f>HYPERLINK("https://www.ejacket.nsf.gov/ej/showProposal.do?ID="&amp;ckCodingTable[[#This Row],[prop_id]],"eJ")</f>
        <v>eJ</v>
      </c>
      <c r="W74" t="s">
        <v>742</v>
      </c>
      <c r="X74" t="s">
        <v>1416</v>
      </c>
      <c r="Y74" t="s">
        <v>1417</v>
      </c>
      <c r="Z74" t="s">
        <v>2301</v>
      </c>
      <c r="AA74" t="s">
        <v>2302</v>
      </c>
      <c r="AB74" s="113" t="str">
        <f>HYPERLINK("mailto:"&amp;ckCodingTable[[#This Row],[email]]&amp;"&amp;subject=Your NSF Proposal:  "&amp;ckCodingTable[[#This Row],[Div]]&amp;" "&amp;ckCodingTable[[#This Row],[prop_id]], ckCodingTable[[#This Row],[email]])</f>
        <v>pietro@math.ksu.edu</v>
      </c>
      <c r="AC74" s="30">
        <v>42979</v>
      </c>
      <c r="AD74">
        <v>36</v>
      </c>
      <c r="AE74">
        <v>1</v>
      </c>
      <c r="AF74">
        <v>1</v>
      </c>
      <c r="AG74" s="122"/>
      <c r="AH74" t="s">
        <v>1984</v>
      </c>
      <c r="AI74" s="26">
        <v>4.333333333333333</v>
      </c>
      <c r="AJ74" s="22">
        <v>42877.401388888888</v>
      </c>
      <c r="AL74">
        <v>3</v>
      </c>
      <c r="AN74" s="122"/>
      <c r="AO74" s="122"/>
      <c r="AP74" s="122"/>
      <c r="AQ74" s="122"/>
      <c r="AR74" s="123" t="str">
        <f>HYPERLINK("https://www.ejacket.nsf.gov/ej/showProposal.do?ID="&amp;ckCodingTable[[#This Row],[prop_id]],"eJ")</f>
        <v>eJ</v>
      </c>
      <c r="AS74" t="s">
        <v>1971</v>
      </c>
      <c r="AT74" t="s">
        <v>2303</v>
      </c>
      <c r="AU74" t="b">
        <f>IF(ckCodingTable[[#This Row],[ILN]]="N",SUBSTITUTE(AT73," ","")&lt;&gt;SUBSTITUTE(ckCodingTable[[#This Row],[prop_titl_txt]]," ",""), FALSE)</f>
        <v>0</v>
      </c>
      <c r="AV74">
        <v>0</v>
      </c>
      <c r="AW74" s="124">
        <v>1499366</v>
      </c>
      <c r="AX74" s="124">
        <v>1499366</v>
      </c>
      <c r="AY74" s="124"/>
      <c r="AZ74" s="124"/>
      <c r="BA74" s="124">
        <v>154545</v>
      </c>
      <c r="BB74" s="124">
        <v>78200</v>
      </c>
      <c r="BC74">
        <v>12</v>
      </c>
      <c r="BD74">
        <v>15</v>
      </c>
      <c r="BE74">
        <v>18</v>
      </c>
      <c r="BH74">
        <v>4</v>
      </c>
      <c r="BI74">
        <v>0</v>
      </c>
      <c r="BJ74">
        <v>0</v>
      </c>
      <c r="BK74">
        <v>0</v>
      </c>
      <c r="BL74" t="s">
        <v>2304</v>
      </c>
    </row>
    <row r="75" spans="1:64">
      <c r="A75" s="30">
        <v>42957.731087962966</v>
      </c>
      <c r="B75" s="30">
        <v>42809.727777777778</v>
      </c>
      <c r="C75" t="s">
        <v>1965</v>
      </c>
      <c r="D75" t="s">
        <v>741</v>
      </c>
      <c r="E75" t="s">
        <v>901</v>
      </c>
      <c r="F75" t="s">
        <v>1966</v>
      </c>
      <c r="G75" t="s">
        <v>170</v>
      </c>
      <c r="H75" s="21" t="s">
        <v>94</v>
      </c>
      <c r="I75" s="86">
        <v>1</v>
      </c>
      <c r="J75" s="86">
        <v>0</v>
      </c>
      <c r="K75" t="s">
        <v>1967</v>
      </c>
      <c r="L75" t="s">
        <v>948</v>
      </c>
      <c r="M75" t="s">
        <v>113</v>
      </c>
      <c r="N75" t="str">
        <f>IF(SUM(ckCodingTable[[#This Row],[NfmlPIs]:[NnonWhtAsnPIs]])&gt;0,"WMD","")</f>
        <v>WMD</v>
      </c>
      <c r="O75" t="b">
        <f>_xlfn.XOR(IFERROR(MATCH(ckCodingTable[[#This Row],[st_code]],EpscorTable[],0)&gt;0,FALSE),IFERROR(FIND("9150",ckCodingTable[[#This Row],[propPRCs]])&gt;0,FALSE))</f>
        <v>0</v>
      </c>
      <c r="P75" s="21" t="b">
        <f>_xlfn.XOR(ckCodingTable[[#This Row],[wmd]]&lt;&gt;"",IFERROR(FIND("9102",ckCodingTable[[#This Row],[propPRCs]])&gt;0,FALSE))</f>
        <v>0</v>
      </c>
      <c r="Q75" t="s">
        <v>1987</v>
      </c>
      <c r="R75" s="22">
        <v>42957.358275462961</v>
      </c>
      <c r="S75" s="108">
        <f>S74+(ckCodingTable[[#This Row],[ILN]]&lt;"M")</f>
        <v>52</v>
      </c>
      <c r="T75" s="21" t="s">
        <v>96</v>
      </c>
      <c r="U75" t="s">
        <v>1422</v>
      </c>
      <c r="V75" s="7" t="str">
        <f>HYPERLINK("https://www.ejacket.nsf.gov/ej/showProposal.do?ID="&amp;ckCodingTable[[#This Row],[prop_id]],"eJ")</f>
        <v>eJ</v>
      </c>
      <c r="W75" t="s">
        <v>742</v>
      </c>
      <c r="X75" t="s">
        <v>1422</v>
      </c>
      <c r="Y75" t="s">
        <v>1423</v>
      </c>
      <c r="Z75" t="s">
        <v>2305</v>
      </c>
      <c r="AA75" t="s">
        <v>2306</v>
      </c>
      <c r="AB75" s="113" t="str">
        <f>HYPERLINK("mailto:"&amp;ckCodingTable[[#This Row],[email]]&amp;"&amp;subject=Your NSF Proposal:  "&amp;ckCodingTable[[#This Row],[Div]]&amp;" "&amp;ckCodingTable[[#This Row],[prop_id]], ckCodingTable[[#This Row],[email]])</f>
        <v>jclarke3@unl.edu</v>
      </c>
      <c r="AC75" s="30">
        <v>42979</v>
      </c>
      <c r="AD75">
        <v>36</v>
      </c>
      <c r="AE75">
        <v>1</v>
      </c>
      <c r="AF75">
        <v>1</v>
      </c>
      <c r="AG75" s="122"/>
      <c r="AH75" t="s">
        <v>2004</v>
      </c>
      <c r="AI75" s="26">
        <v>3.6666666666666665</v>
      </c>
      <c r="AJ75" s="22">
        <v>42878.50277777778</v>
      </c>
      <c r="AL75">
        <v>3</v>
      </c>
      <c r="AN75" s="122"/>
      <c r="AO75" s="122"/>
      <c r="AP75" s="122"/>
      <c r="AQ75" s="122"/>
      <c r="AR75" s="123" t="str">
        <f>HYPERLINK("https://www.ejacket.nsf.gov/ej/showProposal.do?ID="&amp;ckCodingTable[[#This Row],[prop_id]],"eJ")</f>
        <v>eJ</v>
      </c>
      <c r="AS75" t="s">
        <v>1971</v>
      </c>
      <c r="AT75" t="s">
        <v>2307</v>
      </c>
      <c r="AU75" t="b">
        <f>IF(ckCodingTable[[#This Row],[ILN]]="N",SUBSTITUTE(AT74," ","")&lt;&gt;SUBSTITUTE(ckCodingTable[[#This Row],[prop_titl_txt]]," ",""), FALSE)</f>
        <v>0</v>
      </c>
      <c r="AV75">
        <v>0</v>
      </c>
      <c r="AW75" s="124">
        <v>1472301</v>
      </c>
      <c r="AX75" s="124">
        <v>1472301</v>
      </c>
      <c r="AY75" s="124"/>
      <c r="AZ75" s="124"/>
      <c r="BA75" s="124">
        <v>214228</v>
      </c>
      <c r="BB75" s="124">
        <v>49640</v>
      </c>
      <c r="BC75">
        <v>9</v>
      </c>
      <c r="BD75">
        <v>24</v>
      </c>
      <c r="BE75">
        <v>7.5</v>
      </c>
      <c r="BG75">
        <v>4.5</v>
      </c>
      <c r="BH75">
        <v>3</v>
      </c>
      <c r="BI75">
        <v>0</v>
      </c>
      <c r="BJ75">
        <v>0</v>
      </c>
      <c r="BK75">
        <v>0</v>
      </c>
      <c r="BL75" t="s">
        <v>2308</v>
      </c>
    </row>
    <row r="76" spans="1:64">
      <c r="A76" s="30">
        <v>42930.5705787037</v>
      </c>
      <c r="B76" s="30">
        <v>42809.763888888891</v>
      </c>
      <c r="C76" t="s">
        <v>1965</v>
      </c>
      <c r="D76" t="s">
        <v>741</v>
      </c>
      <c r="E76" t="s">
        <v>901</v>
      </c>
      <c r="F76" t="s">
        <v>1974</v>
      </c>
      <c r="G76" t="s">
        <v>170</v>
      </c>
      <c r="H76" s="21" t="s">
        <v>94</v>
      </c>
      <c r="I76" s="86">
        <v>1</v>
      </c>
      <c r="J76" s="86">
        <v>0</v>
      </c>
      <c r="K76" t="s">
        <v>1967</v>
      </c>
      <c r="L76" t="s">
        <v>942</v>
      </c>
      <c r="M76" t="s">
        <v>256</v>
      </c>
      <c r="N76" t="str">
        <f>IF(SUM(ckCodingTable[[#This Row],[NfmlPIs]:[NnonWhtAsnPIs]])&gt;0,"WMD","")</f>
        <v>WMD</v>
      </c>
      <c r="O76" t="b">
        <f>_xlfn.XOR(IFERROR(MATCH(ckCodingTable[[#This Row],[st_code]],EpscorTable[],0)&gt;0,FALSE),IFERROR(FIND("9150",ckCodingTable[[#This Row],[propPRCs]])&gt;0,FALSE))</f>
        <v>0</v>
      </c>
      <c r="P76" s="21" t="b">
        <f>_xlfn.XOR(ckCodingTable[[#This Row],[wmd]]&lt;&gt;"",IFERROR(FIND("9102",ckCodingTable[[#This Row],[propPRCs]])&gt;0,FALSE))</f>
        <v>1</v>
      </c>
      <c r="Q76" t="s">
        <v>1968</v>
      </c>
      <c r="R76" s="22">
        <v>42929.536898148152</v>
      </c>
      <c r="S76" s="108">
        <f>S75+(ckCodingTable[[#This Row],[ILN]]&lt;"M")</f>
        <v>53</v>
      </c>
      <c r="T76" s="21" t="s">
        <v>96</v>
      </c>
      <c r="U76" t="s">
        <v>1429</v>
      </c>
      <c r="V76" s="7" t="str">
        <f>HYPERLINK("https://www.ejacket.nsf.gov/ej/showProposal.do?ID="&amp;ckCodingTable[[#This Row],[prop_id]],"eJ")</f>
        <v>eJ</v>
      </c>
      <c r="W76" t="s">
        <v>742</v>
      </c>
      <c r="X76" t="s">
        <v>1429</v>
      </c>
      <c r="Y76" t="s">
        <v>1430</v>
      </c>
      <c r="Z76" t="s">
        <v>2309</v>
      </c>
      <c r="AA76" t="s">
        <v>2310</v>
      </c>
      <c r="AB76" s="113" t="str">
        <f>HYPERLINK("mailto:"&amp;ckCodingTable[[#This Row],[email]]&amp;"&amp;subject=Your NSF Proposal:  "&amp;ckCodingTable[[#This Row],[Div]]&amp;" "&amp;ckCodingTable[[#This Row],[prop_id]], ckCodingTable[[#This Row],[email]])</f>
        <v>getoor@soe.ucsc.edu</v>
      </c>
      <c r="AC76" s="30">
        <v>42979</v>
      </c>
      <c r="AD76">
        <v>36</v>
      </c>
      <c r="AE76">
        <v>1</v>
      </c>
      <c r="AG76" s="122"/>
      <c r="AH76" t="s">
        <v>2311</v>
      </c>
      <c r="AI76" s="26">
        <v>7.333333333333333</v>
      </c>
      <c r="AJ76" s="22">
        <v>42878.400694444441</v>
      </c>
      <c r="AL76">
        <v>3</v>
      </c>
      <c r="AN76" s="122"/>
      <c r="AO76" s="122"/>
      <c r="AP76" s="122"/>
      <c r="AQ76" s="122"/>
      <c r="AR76" s="123" t="str">
        <f>HYPERLINK("https://www.ejacket.nsf.gov/ej/showProposal.do?ID="&amp;ckCodingTable[[#This Row],[prop_id]],"eJ")</f>
        <v>eJ</v>
      </c>
      <c r="AS76" t="s">
        <v>1977</v>
      </c>
      <c r="AT76" t="s">
        <v>2312</v>
      </c>
      <c r="AU76" t="b">
        <f>IF(ckCodingTable[[#This Row],[ILN]]="N",SUBSTITUTE(AT75," ","")&lt;&gt;SUBSTITUTE(ckCodingTable[[#This Row],[prop_titl_txt]]," ",""), FALSE)</f>
        <v>0</v>
      </c>
      <c r="AV76">
        <v>0</v>
      </c>
      <c r="AW76" s="124">
        <v>1500000</v>
      </c>
      <c r="AX76" s="124">
        <v>1500000</v>
      </c>
      <c r="AY76" s="124"/>
      <c r="AZ76" s="124"/>
      <c r="BA76" s="124">
        <v>231818</v>
      </c>
      <c r="BB76" s="124">
        <v>55000</v>
      </c>
      <c r="BC76">
        <v>9</v>
      </c>
      <c r="BD76">
        <v>9</v>
      </c>
      <c r="BE76">
        <v>4.42</v>
      </c>
      <c r="BH76">
        <v>2</v>
      </c>
      <c r="BI76">
        <v>2</v>
      </c>
      <c r="BJ76">
        <v>0</v>
      </c>
      <c r="BK76">
        <v>0</v>
      </c>
      <c r="BL76" t="s">
        <v>2313</v>
      </c>
    </row>
    <row r="77" spans="1:64">
      <c r="A77" s="30">
        <v>42955.720914351848</v>
      </c>
      <c r="B77" s="30">
        <v>42809.763888888891</v>
      </c>
      <c r="C77" t="s">
        <v>1965</v>
      </c>
      <c r="D77" t="s">
        <v>741</v>
      </c>
      <c r="E77" t="s">
        <v>901</v>
      </c>
      <c r="F77" t="s">
        <v>1966</v>
      </c>
      <c r="G77" t="s">
        <v>170</v>
      </c>
      <c r="H77" s="21" t="s">
        <v>94</v>
      </c>
      <c r="I77" s="86">
        <v>1</v>
      </c>
      <c r="J77" s="86">
        <v>0</v>
      </c>
      <c r="K77" t="s">
        <v>1967</v>
      </c>
      <c r="L77" t="s">
        <v>942</v>
      </c>
      <c r="M77" t="s">
        <v>256</v>
      </c>
      <c r="N77" t="str">
        <f>IF(SUM(ckCodingTable[[#This Row],[NfmlPIs]:[NnonWhtAsnPIs]])&gt;0,"WMD","")</f>
        <v/>
      </c>
      <c r="O77" t="b">
        <f>_xlfn.XOR(IFERROR(MATCH(ckCodingTable[[#This Row],[st_code]],EpscorTable[],0)&gt;0,FALSE),IFERROR(FIND("9150",ckCodingTable[[#This Row],[propPRCs]])&gt;0,FALSE))</f>
        <v>0</v>
      </c>
      <c r="P77" s="21" t="b">
        <f>_xlfn.XOR(ckCodingTable[[#This Row],[wmd]]&lt;&gt;"",IFERROR(FIND("9102",ckCodingTable[[#This Row],[propPRCs]])&gt;0,FALSE))</f>
        <v>0</v>
      </c>
      <c r="Q77" t="s">
        <v>1968</v>
      </c>
      <c r="R77" s="22">
        <v>42954.401226851849</v>
      </c>
      <c r="S77" s="108">
        <f>S76+(ckCodingTable[[#This Row],[ILN]]&lt;"M")</f>
        <v>54</v>
      </c>
      <c r="T77" s="21" t="s">
        <v>96</v>
      </c>
      <c r="U77" t="s">
        <v>1438</v>
      </c>
      <c r="V77" s="7" t="str">
        <f>HYPERLINK("https://www.ejacket.nsf.gov/ej/showProposal.do?ID="&amp;ckCodingTable[[#This Row],[prop_id]],"eJ")</f>
        <v>eJ</v>
      </c>
      <c r="W77" t="s">
        <v>742</v>
      </c>
      <c r="X77" t="s">
        <v>1438</v>
      </c>
      <c r="Y77" t="s">
        <v>1439</v>
      </c>
      <c r="Z77" t="s">
        <v>2314</v>
      </c>
      <c r="AA77" t="s">
        <v>2315</v>
      </c>
      <c r="AB77" s="113" t="str">
        <f>HYPERLINK("mailto:"&amp;ckCodingTable[[#This Row],[email]]&amp;"&amp;subject=Your NSF Proposal:  "&amp;ckCodingTable[[#This Row],[Div]]&amp;" "&amp;ckCodingTable[[#This Row],[prop_id]], ckCodingTable[[#This Row],[email]])</f>
        <v>pfbaldi@ics.uci.edu</v>
      </c>
      <c r="AC77" s="30">
        <v>43009</v>
      </c>
      <c r="AD77">
        <v>36</v>
      </c>
      <c r="AE77">
        <v>1</v>
      </c>
      <c r="AG77" s="122"/>
      <c r="AH77" t="s">
        <v>813</v>
      </c>
      <c r="AI77" s="26">
        <v>5</v>
      </c>
      <c r="AJ77" s="22">
        <v>42878.292361111111</v>
      </c>
      <c r="AL77">
        <v>3</v>
      </c>
      <c r="AN77" s="122"/>
      <c r="AO77" s="122"/>
      <c r="AP77" s="122"/>
      <c r="AQ77" s="122"/>
      <c r="AR77" s="123" t="str">
        <f>HYPERLINK("https://www.ejacket.nsf.gov/ej/showProposal.do?ID="&amp;ckCodingTable[[#This Row],[prop_id]],"eJ")</f>
        <v>eJ</v>
      </c>
      <c r="AS77" t="s">
        <v>1971</v>
      </c>
      <c r="AT77" t="s">
        <v>2316</v>
      </c>
      <c r="AU77" t="b">
        <f>IF(ckCodingTable[[#This Row],[ILN]]="N",SUBSTITUTE(AT76," ","")&lt;&gt;SUBSTITUTE(ckCodingTable[[#This Row],[prop_titl_txt]]," ",""), FALSE)</f>
        <v>0</v>
      </c>
      <c r="AV77">
        <v>1</v>
      </c>
      <c r="AW77" s="124">
        <v>1484557</v>
      </c>
      <c r="AX77" s="124">
        <v>1482592</v>
      </c>
      <c r="AY77" s="124"/>
      <c r="AZ77" s="124">
        <v>12000</v>
      </c>
      <c r="BA77" s="124"/>
      <c r="BB77" s="124"/>
      <c r="BC77">
        <v>12</v>
      </c>
      <c r="BD77">
        <v>9</v>
      </c>
      <c r="BE77">
        <v>13.75</v>
      </c>
      <c r="BH77">
        <v>0</v>
      </c>
      <c r="BI77">
        <v>0</v>
      </c>
      <c r="BJ77">
        <v>0</v>
      </c>
      <c r="BK77">
        <v>0</v>
      </c>
      <c r="BL77" t="s">
        <v>2317</v>
      </c>
    </row>
    <row r="78" spans="1:64">
      <c r="A78" s="30">
        <v>42955.721747685187</v>
      </c>
      <c r="B78" s="30">
        <v>42809.765972222223</v>
      </c>
      <c r="C78" t="s">
        <v>1965</v>
      </c>
      <c r="D78" t="s">
        <v>741</v>
      </c>
      <c r="E78" t="s">
        <v>901</v>
      </c>
      <c r="F78" t="s">
        <v>1966</v>
      </c>
      <c r="G78" t="s">
        <v>170</v>
      </c>
      <c r="H78" s="21" t="s">
        <v>94</v>
      </c>
      <c r="I78" s="86">
        <v>1</v>
      </c>
      <c r="J78" s="86">
        <v>0</v>
      </c>
      <c r="K78" t="s">
        <v>1967</v>
      </c>
      <c r="L78" t="s">
        <v>942</v>
      </c>
      <c r="M78" t="s">
        <v>256</v>
      </c>
      <c r="N78" t="str">
        <f>IF(SUM(ckCodingTable[[#This Row],[NfmlPIs]:[NnonWhtAsnPIs]])&gt;0,"WMD","")</f>
        <v>WMD</v>
      </c>
      <c r="O78" t="b">
        <f>_xlfn.XOR(IFERROR(MATCH(ckCodingTable[[#This Row],[st_code]],EpscorTable[],0)&gt;0,FALSE),IFERROR(FIND("9150",ckCodingTable[[#This Row],[propPRCs]])&gt;0,FALSE))</f>
        <v>0</v>
      </c>
      <c r="P78" s="21" t="b">
        <f>_xlfn.XOR(ckCodingTable[[#This Row],[wmd]]&lt;&gt;"",IFERROR(FIND("9102",ckCodingTable[[#This Row],[propPRCs]])&gt;0,FALSE))</f>
        <v>1</v>
      </c>
      <c r="Q78" t="s">
        <v>1968</v>
      </c>
      <c r="R78" s="22">
        <v>42954.41034722222</v>
      </c>
      <c r="S78" s="108">
        <f>S77+(ckCodingTable[[#This Row],[ILN]]&lt;"M")</f>
        <v>55</v>
      </c>
      <c r="T78" s="21" t="s">
        <v>96</v>
      </c>
      <c r="U78" t="s">
        <v>1445</v>
      </c>
      <c r="V78" s="7" t="str">
        <f>HYPERLINK("https://www.ejacket.nsf.gov/ej/showProposal.do?ID="&amp;ckCodingTable[[#This Row],[prop_id]],"eJ")</f>
        <v>eJ</v>
      </c>
      <c r="W78" t="s">
        <v>742</v>
      </c>
      <c r="X78" t="s">
        <v>1445</v>
      </c>
      <c r="Y78" t="s">
        <v>1141</v>
      </c>
      <c r="Z78" t="s">
        <v>2095</v>
      </c>
      <c r="AA78" t="s">
        <v>2318</v>
      </c>
      <c r="AB78" s="113" t="str">
        <f>HYPERLINK("mailto:"&amp;ckCodingTable[[#This Row],[email]]&amp;"&amp;subject=Your NSF Proposal:  "&amp;ckCodingTable[[#This Row],[Div]]&amp;" "&amp;ckCodingTable[[#This Row],[prop_id]], ckCodingTable[[#This Row],[email]])</f>
        <v>gilbert@cs.ucsb.edu</v>
      </c>
      <c r="AC78" s="30">
        <v>42917</v>
      </c>
      <c r="AD78">
        <v>36</v>
      </c>
      <c r="AE78">
        <v>1</v>
      </c>
      <c r="AF78">
        <v>1</v>
      </c>
      <c r="AG78" s="122"/>
      <c r="AH78" t="s">
        <v>1984</v>
      </c>
      <c r="AI78" s="26">
        <v>4.333333333333333</v>
      </c>
      <c r="AJ78" s="22">
        <v>42878.557638888888</v>
      </c>
      <c r="AL78">
        <v>3</v>
      </c>
      <c r="AN78" s="122"/>
      <c r="AO78" s="122"/>
      <c r="AP78" s="122"/>
      <c r="AQ78" s="122"/>
      <c r="AR78" s="123" t="str">
        <f>HYPERLINK("https://www.ejacket.nsf.gov/ej/showProposal.do?ID="&amp;ckCodingTable[[#This Row],[prop_id]],"eJ")</f>
        <v>eJ</v>
      </c>
      <c r="AS78" t="s">
        <v>1971</v>
      </c>
      <c r="AT78" t="s">
        <v>2319</v>
      </c>
      <c r="AU78" t="b">
        <f>IF(ckCodingTable[[#This Row],[ILN]]="N",SUBSTITUTE(AT77," ","")&lt;&gt;SUBSTITUTE(ckCodingTable[[#This Row],[prop_titl_txt]]," ",""), FALSE)</f>
        <v>0</v>
      </c>
      <c r="AV78">
        <v>0</v>
      </c>
      <c r="AW78" s="124">
        <v>1496834</v>
      </c>
      <c r="AX78" s="124">
        <v>1496834</v>
      </c>
      <c r="AY78" s="124"/>
      <c r="AZ78" s="124"/>
      <c r="BA78" s="124"/>
      <c r="BB78" s="124">
        <v>31000</v>
      </c>
      <c r="BC78">
        <v>15</v>
      </c>
      <c r="BD78">
        <v>15</v>
      </c>
      <c r="BE78">
        <v>4.8</v>
      </c>
      <c r="BH78">
        <v>0</v>
      </c>
      <c r="BI78">
        <v>1</v>
      </c>
      <c r="BJ78">
        <v>0</v>
      </c>
      <c r="BK78">
        <v>0</v>
      </c>
      <c r="BL78" t="s">
        <v>2320</v>
      </c>
    </row>
    <row r="79" spans="1:64">
      <c r="A79" s="30">
        <v>42955.722673611112</v>
      </c>
      <c r="B79" s="30">
        <v>42809.783333333333</v>
      </c>
      <c r="C79" t="s">
        <v>1965</v>
      </c>
      <c r="D79" t="s">
        <v>741</v>
      </c>
      <c r="E79" t="s">
        <v>901</v>
      </c>
      <c r="F79" t="s">
        <v>1966</v>
      </c>
      <c r="G79" t="s">
        <v>170</v>
      </c>
      <c r="H79" s="21" t="s">
        <v>94</v>
      </c>
      <c r="I79" s="86">
        <v>1</v>
      </c>
      <c r="J79" s="86">
        <v>0</v>
      </c>
      <c r="K79" t="s">
        <v>1967</v>
      </c>
      <c r="L79" t="s">
        <v>942</v>
      </c>
      <c r="M79" t="s">
        <v>108</v>
      </c>
      <c r="N79" t="str">
        <f>IF(SUM(ckCodingTable[[#This Row],[NfmlPIs]:[NnonWhtAsnPIs]])&gt;0,"WMD","")</f>
        <v>WMD</v>
      </c>
      <c r="O79" t="b">
        <f>_xlfn.XOR(IFERROR(MATCH(ckCodingTable[[#This Row],[st_code]],EpscorTable[],0)&gt;0,FALSE),IFERROR(FIND("9150",ckCodingTable[[#This Row],[propPRCs]])&gt;0,FALSE))</f>
        <v>0</v>
      </c>
      <c r="P79" s="21" t="b">
        <f>_xlfn.XOR(ckCodingTable[[#This Row],[wmd]]&lt;&gt;"",IFERROR(FIND("9102",ckCodingTable[[#This Row],[propPRCs]])&gt;0,FALSE))</f>
        <v>1</v>
      </c>
      <c r="Q79" t="s">
        <v>1995</v>
      </c>
      <c r="R79" s="22">
        <v>42954.403321759259</v>
      </c>
      <c r="S79" s="108">
        <f>S78+(ckCodingTable[[#This Row],[ILN]]&lt;"M")</f>
        <v>56</v>
      </c>
      <c r="T79" s="21" t="s">
        <v>96</v>
      </c>
      <c r="U79" t="s">
        <v>1450</v>
      </c>
      <c r="V79" s="7" t="str">
        <f>HYPERLINK("https://www.ejacket.nsf.gov/ej/showProposal.do?ID="&amp;ckCodingTable[[#This Row],[prop_id]],"eJ")</f>
        <v>eJ</v>
      </c>
      <c r="W79" t="s">
        <v>742</v>
      </c>
      <c r="X79" t="s">
        <v>1450</v>
      </c>
      <c r="Y79" t="s">
        <v>1451</v>
      </c>
      <c r="Z79" t="s">
        <v>2321</v>
      </c>
      <c r="AA79" t="s">
        <v>2322</v>
      </c>
      <c r="AB79" s="113" t="str">
        <f>HYPERLINK("mailto:"&amp;ckCodingTable[[#This Row],[email]]&amp;"&amp;subject=Your NSF Proposal:  "&amp;ckCodingTable[[#This Row],[Div]]&amp;" "&amp;ckCodingTable[[#This Row],[prop_id]], ckCodingTable[[#This Row],[email]])</f>
        <v>fuchang@uidaho.edu</v>
      </c>
      <c r="AC79" s="30">
        <v>42917</v>
      </c>
      <c r="AD79">
        <v>36</v>
      </c>
      <c r="AE79">
        <v>1</v>
      </c>
      <c r="AF79">
        <v>1</v>
      </c>
      <c r="AG79" s="122"/>
      <c r="AH79" t="s">
        <v>1984</v>
      </c>
      <c r="AI79" s="26">
        <v>4.333333333333333</v>
      </c>
      <c r="AJ79" s="22">
        <v>42884.197916666664</v>
      </c>
      <c r="AL79">
        <v>3</v>
      </c>
      <c r="AN79" s="122"/>
      <c r="AO79" s="122"/>
      <c r="AP79" s="122"/>
      <c r="AQ79" s="122"/>
      <c r="AR79" s="123" t="str">
        <f>HYPERLINK("https://www.ejacket.nsf.gov/ej/showProposal.do?ID="&amp;ckCodingTable[[#This Row],[prop_id]],"eJ")</f>
        <v>eJ</v>
      </c>
      <c r="AS79" t="s">
        <v>1971</v>
      </c>
      <c r="AT79" t="s">
        <v>2323</v>
      </c>
      <c r="AU79" t="b">
        <f>IF(ckCodingTable[[#This Row],[ILN]]="N",SUBSTITUTE(AT78," ","")&lt;&gt;SUBSTITUTE(ckCodingTable[[#This Row],[prop_titl_txt]]," ",""), FALSE)</f>
        <v>0</v>
      </c>
      <c r="AV79">
        <v>0</v>
      </c>
      <c r="AW79" s="124">
        <v>1493022</v>
      </c>
      <c r="AX79" s="124">
        <v>1493022</v>
      </c>
      <c r="AY79" s="124"/>
      <c r="AZ79" s="124"/>
      <c r="BA79" s="124">
        <v>154545</v>
      </c>
      <c r="BB79" s="124"/>
      <c r="BC79">
        <v>9</v>
      </c>
      <c r="BD79">
        <v>21</v>
      </c>
      <c r="BG79">
        <v>32.5</v>
      </c>
      <c r="BH79">
        <v>2</v>
      </c>
      <c r="BI79">
        <v>0</v>
      </c>
      <c r="BJ79">
        <v>0</v>
      </c>
      <c r="BK79">
        <v>0</v>
      </c>
      <c r="BL79" t="s">
        <v>2324</v>
      </c>
    </row>
    <row r="80" spans="1:64">
      <c r="A80" s="30">
        <v>42930.572418981479</v>
      </c>
      <c r="B80" s="30">
        <v>42809.785416666666</v>
      </c>
      <c r="C80" t="s">
        <v>1965</v>
      </c>
      <c r="D80" t="s">
        <v>741</v>
      </c>
      <c r="E80" t="s">
        <v>901</v>
      </c>
      <c r="F80" t="s">
        <v>1974</v>
      </c>
      <c r="G80" t="s">
        <v>170</v>
      </c>
      <c r="H80" s="21" t="s">
        <v>94</v>
      </c>
      <c r="I80" s="86">
        <v>1</v>
      </c>
      <c r="J80" s="86">
        <v>0</v>
      </c>
      <c r="K80" t="s">
        <v>1967</v>
      </c>
      <c r="L80" t="s">
        <v>942</v>
      </c>
      <c r="M80" t="s">
        <v>256</v>
      </c>
      <c r="N80" t="str">
        <f>IF(SUM(ckCodingTable[[#This Row],[NfmlPIs]:[NnonWhtAsnPIs]])&gt;0,"WMD","")</f>
        <v>WMD</v>
      </c>
      <c r="O80" t="b">
        <f>_xlfn.XOR(IFERROR(MATCH(ckCodingTable[[#This Row],[st_code]],EpscorTable[],0)&gt;0,FALSE),IFERROR(FIND("9150",ckCodingTable[[#This Row],[propPRCs]])&gt;0,FALSE))</f>
        <v>0</v>
      </c>
      <c r="P80" s="21" t="b">
        <f>_xlfn.XOR(ckCodingTable[[#This Row],[wmd]]&lt;&gt;"",IFERROR(FIND("9102",ckCodingTable[[#This Row],[propPRCs]])&gt;0,FALSE))</f>
        <v>1</v>
      </c>
      <c r="Q80" t="s">
        <v>1968</v>
      </c>
      <c r="R80" s="22">
        <v>42930.329398148147</v>
      </c>
      <c r="S80" s="108">
        <f>S79+(ckCodingTable[[#This Row],[ILN]]&lt;"M")</f>
        <v>57</v>
      </c>
      <c r="T80" s="21" t="s">
        <v>96</v>
      </c>
      <c r="U80" t="s">
        <v>1456</v>
      </c>
      <c r="V80" s="7" t="str">
        <f>HYPERLINK("https://www.ejacket.nsf.gov/ej/showProposal.do?ID="&amp;ckCodingTable[[#This Row],[prop_id]],"eJ")</f>
        <v>eJ</v>
      </c>
      <c r="W80" t="s">
        <v>742</v>
      </c>
      <c r="X80" t="s">
        <v>1456</v>
      </c>
      <c r="Y80" t="s">
        <v>1457</v>
      </c>
      <c r="Z80" t="s">
        <v>1969</v>
      </c>
      <c r="AA80" t="s">
        <v>2325</v>
      </c>
      <c r="AB80" s="113" t="str">
        <f>HYPERLINK("mailto:"&amp;ckCodingTable[[#This Row],[email]]&amp;"&amp;subject=Your NSF Proposal:  "&amp;ckCodingTable[[#This Row],[Div]]&amp;" "&amp;ckCodingTable[[#This Row],[prop_id]], ckCodingTable[[#This Row],[email]])</f>
        <v>mmahoney@icsi.berkeley.edu</v>
      </c>
      <c r="AC80" s="30">
        <v>42979</v>
      </c>
      <c r="AD80">
        <v>36</v>
      </c>
      <c r="AE80">
        <v>1</v>
      </c>
      <c r="AG80" s="122"/>
      <c r="AH80" t="s">
        <v>2326</v>
      </c>
      <c r="AI80" s="26">
        <v>7.666666666666667</v>
      </c>
      <c r="AJ80" s="22">
        <v>42878.37222222222</v>
      </c>
      <c r="AK80" s="22">
        <v>1</v>
      </c>
      <c r="AL80">
        <v>3</v>
      </c>
      <c r="AN80" s="122"/>
      <c r="AO80" s="122"/>
      <c r="AP80" s="122"/>
      <c r="AQ80" s="122"/>
      <c r="AR80" s="123" t="str">
        <f>HYPERLINK("https://www.ejacket.nsf.gov/ej/showProposal.do?ID="&amp;ckCodingTable[[#This Row],[prop_id]],"eJ")</f>
        <v>eJ</v>
      </c>
      <c r="AS80" t="s">
        <v>1977</v>
      </c>
      <c r="AT80" t="s">
        <v>2327</v>
      </c>
      <c r="AU80" t="b">
        <f>IF(ckCodingTable[[#This Row],[ILN]]="N",SUBSTITUTE(AT79," ","")&lt;&gt;SUBSTITUTE(ckCodingTable[[#This Row],[prop_titl_txt]]," ",""), FALSE)</f>
        <v>0</v>
      </c>
      <c r="AV80">
        <v>1</v>
      </c>
      <c r="AW80" s="124">
        <v>1500000</v>
      </c>
      <c r="AX80" s="124">
        <v>1499999</v>
      </c>
      <c r="AY80" s="124"/>
      <c r="AZ80" s="124">
        <v>15000</v>
      </c>
      <c r="BA80" s="124">
        <v>378747</v>
      </c>
      <c r="BB80" s="124"/>
      <c r="BC80">
        <v>3</v>
      </c>
      <c r="BD80">
        <v>15</v>
      </c>
      <c r="BE80">
        <v>6</v>
      </c>
      <c r="BF80">
        <v>1</v>
      </c>
      <c r="BG80">
        <v>3.5</v>
      </c>
      <c r="BH80">
        <v>1</v>
      </c>
      <c r="BI80">
        <v>2</v>
      </c>
      <c r="BJ80">
        <v>0</v>
      </c>
      <c r="BK80">
        <v>0</v>
      </c>
      <c r="BL80" t="s">
        <v>2328</v>
      </c>
    </row>
    <row r="81" spans="1:64">
      <c r="A81" s="30">
        <v>42930.588136574072</v>
      </c>
      <c r="B81" s="30">
        <v>42809.806944444441</v>
      </c>
      <c r="C81" t="s">
        <v>1965</v>
      </c>
      <c r="D81" t="s">
        <v>741</v>
      </c>
      <c r="E81" t="s">
        <v>901</v>
      </c>
      <c r="F81" t="s">
        <v>1974</v>
      </c>
      <c r="G81" t="s">
        <v>170</v>
      </c>
      <c r="H81" s="21" t="s">
        <v>94</v>
      </c>
      <c r="I81" s="86">
        <v>1</v>
      </c>
      <c r="J81" s="86">
        <v>0</v>
      </c>
      <c r="K81" t="s">
        <v>1967</v>
      </c>
      <c r="L81" t="s">
        <v>543</v>
      </c>
      <c r="M81" t="s">
        <v>2329</v>
      </c>
      <c r="N81" t="str">
        <f>IF(SUM(ckCodingTable[[#This Row],[NfmlPIs]:[NnonWhtAsnPIs]])&gt;0,"WMD","")</f>
        <v>WMD</v>
      </c>
      <c r="O81" t="b">
        <f>_xlfn.XOR(IFERROR(MATCH(ckCodingTable[[#This Row],[st_code]],EpscorTable[],0)&gt;0,FALSE),IFERROR(FIND("9150",ckCodingTable[[#This Row],[propPRCs]])&gt;0,FALSE))</f>
        <v>0</v>
      </c>
      <c r="P81" s="21" t="b">
        <f>_xlfn.XOR(ckCodingTable[[#This Row],[wmd]]&lt;&gt;"",IFERROR(FIND("9102",ckCodingTable[[#This Row],[propPRCs]])&gt;0,FALSE))</f>
        <v>1</v>
      </c>
      <c r="Q81" t="s">
        <v>1968</v>
      </c>
      <c r="R81" s="22">
        <v>42928.658391203702</v>
      </c>
      <c r="S81" s="108">
        <f>S80+(ckCodingTable[[#This Row],[ILN]]&lt;"M")</f>
        <v>58</v>
      </c>
      <c r="T81" s="21" t="s">
        <v>96</v>
      </c>
      <c r="U81" t="s">
        <v>1465</v>
      </c>
      <c r="V81" s="7" t="str">
        <f>HYPERLINK("https://www.ejacket.nsf.gov/ej/showProposal.do?ID="&amp;ckCodingTable[[#This Row],[prop_id]],"eJ")</f>
        <v>eJ</v>
      </c>
      <c r="W81" t="s">
        <v>742</v>
      </c>
      <c r="X81" t="s">
        <v>1465</v>
      </c>
      <c r="Y81" t="s">
        <v>1019</v>
      </c>
      <c r="Z81" t="s">
        <v>2330</v>
      </c>
      <c r="AA81" t="s">
        <v>2331</v>
      </c>
      <c r="AB81" s="113" t="str">
        <f>HYPERLINK("mailto:"&amp;ckCodingTable[[#This Row],[email]]&amp;"&amp;subject=Your NSF Proposal:  "&amp;ckCodingTable[[#This Row],[Div]]&amp;" "&amp;ckCodingTable[[#This Row],[prop_id]], ckCodingTable[[#This Row],[email]])</f>
        <v>hzhang@math.arizona.edu</v>
      </c>
      <c r="AC81" s="30">
        <v>42948</v>
      </c>
      <c r="AD81">
        <v>36</v>
      </c>
      <c r="AE81">
        <v>1</v>
      </c>
      <c r="AG81" s="122"/>
      <c r="AH81" t="s">
        <v>2248</v>
      </c>
      <c r="AI81" s="26">
        <v>5.666666666666667</v>
      </c>
      <c r="AJ81" s="22">
        <v>42884.15347222222</v>
      </c>
      <c r="AL81">
        <v>3</v>
      </c>
      <c r="AN81" s="122"/>
      <c r="AO81" s="122"/>
      <c r="AP81" s="122"/>
      <c r="AQ81" s="122"/>
      <c r="AR81" s="123" t="str">
        <f>HYPERLINK("https://www.ejacket.nsf.gov/ej/showProposal.do?ID="&amp;ckCodingTable[[#This Row],[prop_id]],"eJ")</f>
        <v>eJ</v>
      </c>
      <c r="AS81" t="s">
        <v>1977</v>
      </c>
      <c r="AT81" t="s">
        <v>2332</v>
      </c>
      <c r="AU81" t="b">
        <f>IF(ckCodingTable[[#This Row],[ILN]]="N",SUBSTITUTE(AT80," ","")&lt;&gt;SUBSTITUTE(ckCodingTable[[#This Row],[prop_titl_txt]]," ",""), FALSE)</f>
        <v>0</v>
      </c>
      <c r="AV81">
        <v>1</v>
      </c>
      <c r="AW81" s="124">
        <v>1499999</v>
      </c>
      <c r="AX81" s="124">
        <v>1368498</v>
      </c>
      <c r="AY81" s="124"/>
      <c r="AZ81" s="124"/>
      <c r="BA81" s="124">
        <v>168409</v>
      </c>
      <c r="BB81" s="124">
        <v>135288</v>
      </c>
      <c r="BC81">
        <v>9</v>
      </c>
      <c r="BD81">
        <v>24</v>
      </c>
      <c r="BE81">
        <v>6</v>
      </c>
      <c r="BH81">
        <v>2</v>
      </c>
      <c r="BI81">
        <v>0</v>
      </c>
      <c r="BJ81">
        <v>0</v>
      </c>
      <c r="BK81">
        <v>0</v>
      </c>
      <c r="BL81" t="s">
        <v>2333</v>
      </c>
    </row>
    <row r="82" spans="1:64">
      <c r="A82" s="30">
        <v>42955.723368055558</v>
      </c>
      <c r="B82" s="30">
        <v>42809.811805555553</v>
      </c>
      <c r="C82" t="s">
        <v>1965</v>
      </c>
      <c r="D82" t="s">
        <v>741</v>
      </c>
      <c r="E82" t="s">
        <v>901</v>
      </c>
      <c r="F82" t="s">
        <v>1966</v>
      </c>
      <c r="G82" t="s">
        <v>170</v>
      </c>
      <c r="H82" s="21" t="s">
        <v>94</v>
      </c>
      <c r="I82" s="86">
        <v>1</v>
      </c>
      <c r="J82" s="86">
        <v>0</v>
      </c>
      <c r="K82" t="s">
        <v>1967</v>
      </c>
      <c r="L82" t="s">
        <v>942</v>
      </c>
      <c r="M82" t="s">
        <v>256</v>
      </c>
      <c r="N82" t="str">
        <f>IF(SUM(ckCodingTable[[#This Row],[NfmlPIs]:[NnonWhtAsnPIs]])&gt;0,"WMD","")</f>
        <v>WMD</v>
      </c>
      <c r="O82" t="b">
        <f>_xlfn.XOR(IFERROR(MATCH(ckCodingTable[[#This Row],[st_code]],EpscorTable[],0)&gt;0,FALSE),IFERROR(FIND("9150",ckCodingTable[[#This Row],[propPRCs]])&gt;0,FALSE))</f>
        <v>0</v>
      </c>
      <c r="P82" s="21" t="b">
        <f>_xlfn.XOR(ckCodingTable[[#This Row],[wmd]]&lt;&gt;"",IFERROR(FIND("9102",ckCodingTable[[#This Row],[propPRCs]])&gt;0,FALSE))</f>
        <v>1</v>
      </c>
      <c r="Q82" t="s">
        <v>1968</v>
      </c>
      <c r="R82" s="22">
        <v>42954.406631944446</v>
      </c>
      <c r="S82" s="108">
        <f>S81+(ckCodingTable[[#This Row],[ILN]]&lt;"M")</f>
        <v>59</v>
      </c>
      <c r="T82" s="21" t="s">
        <v>96</v>
      </c>
      <c r="U82" t="s">
        <v>1474</v>
      </c>
      <c r="V82" s="7" t="str">
        <f>HYPERLINK("https://www.ejacket.nsf.gov/ej/showProposal.do?ID="&amp;ckCodingTable[[#This Row],[prop_id]],"eJ")</f>
        <v>eJ</v>
      </c>
      <c r="W82" t="s">
        <v>742</v>
      </c>
      <c r="X82" t="s">
        <v>1474</v>
      </c>
      <c r="Y82" t="s">
        <v>1475</v>
      </c>
      <c r="Z82" t="s">
        <v>2334</v>
      </c>
      <c r="AA82" t="s">
        <v>2335</v>
      </c>
      <c r="AB82" s="113" t="str">
        <f>HYPERLINK("mailto:"&amp;ckCodingTable[[#This Row],[email]]&amp;"&amp;subject=Your NSF Proposal:  "&amp;ckCodingTable[[#This Row],[Div]]&amp;" "&amp;ckCodingTable[[#This Row],[prop_id]], ckCodingTable[[#This Row],[email]])</f>
        <v>jdwilson4@usfca.edu</v>
      </c>
      <c r="AC82" s="30">
        <v>43009</v>
      </c>
      <c r="AD82">
        <v>36</v>
      </c>
      <c r="AE82">
        <v>1</v>
      </c>
      <c r="AF82">
        <v>1</v>
      </c>
      <c r="AG82" s="122"/>
      <c r="AH82" t="s">
        <v>2138</v>
      </c>
      <c r="AI82" s="26">
        <v>3.6666666666666665</v>
      </c>
      <c r="AJ82" s="22">
        <v>42878.491666666669</v>
      </c>
      <c r="AL82">
        <v>3</v>
      </c>
      <c r="AN82" s="122"/>
      <c r="AO82" s="122"/>
      <c r="AP82" s="122"/>
      <c r="AQ82" s="122"/>
      <c r="AR82" s="123" t="str">
        <f>HYPERLINK("https://www.ejacket.nsf.gov/ej/showProposal.do?ID="&amp;ckCodingTable[[#This Row],[prop_id]],"eJ")</f>
        <v>eJ</v>
      </c>
      <c r="AS82" t="s">
        <v>1971</v>
      </c>
      <c r="AT82" t="s">
        <v>2336</v>
      </c>
      <c r="AU82" t="b">
        <f>IF(ckCodingTable[[#This Row],[ILN]]="N",SUBSTITUTE(AT81," ","")&lt;&gt;SUBSTITUTE(ckCodingTable[[#This Row],[prop_titl_txt]]," ",""), FALSE)</f>
        <v>0</v>
      </c>
      <c r="AV82">
        <v>0</v>
      </c>
      <c r="AW82" s="124">
        <v>1371814</v>
      </c>
      <c r="AX82" s="124">
        <v>1371814</v>
      </c>
      <c r="AY82" s="124"/>
      <c r="AZ82" s="124"/>
      <c r="BA82" s="124">
        <v>302400</v>
      </c>
      <c r="BB82" s="124">
        <v>138000</v>
      </c>
      <c r="BD82">
        <v>7</v>
      </c>
      <c r="BE82">
        <v>10</v>
      </c>
      <c r="BH82">
        <v>0</v>
      </c>
      <c r="BI82">
        <v>2</v>
      </c>
      <c r="BJ82">
        <v>0</v>
      </c>
      <c r="BK82">
        <v>0</v>
      </c>
      <c r="BL82" t="s">
        <v>2337</v>
      </c>
    </row>
    <row r="83" spans="1:64">
      <c r="A83" s="30">
        <v>42954.675567129627</v>
      </c>
      <c r="B83" s="30">
        <v>42810.679861111108</v>
      </c>
      <c r="C83" t="s">
        <v>1965</v>
      </c>
      <c r="D83" t="s">
        <v>741</v>
      </c>
      <c r="E83" t="s">
        <v>901</v>
      </c>
      <c r="F83" t="s">
        <v>1966</v>
      </c>
      <c r="G83" t="s">
        <v>170</v>
      </c>
      <c r="H83" s="21" t="s">
        <v>94</v>
      </c>
      <c r="I83" s="86">
        <v>1</v>
      </c>
      <c r="J83" s="86">
        <v>0</v>
      </c>
      <c r="K83" t="s">
        <v>1967</v>
      </c>
      <c r="L83" t="s">
        <v>543</v>
      </c>
      <c r="M83" t="s">
        <v>258</v>
      </c>
      <c r="N83" t="str">
        <f>IF(SUM(ckCodingTable[[#This Row],[NfmlPIs]:[NnonWhtAsnPIs]])&gt;0,"WMD","")</f>
        <v/>
      </c>
      <c r="O83" t="b">
        <f>_xlfn.XOR(IFERROR(MATCH(ckCodingTable[[#This Row],[st_code]],EpscorTable[],0)&gt;0,FALSE),IFERROR(FIND("9150",ckCodingTable[[#This Row],[propPRCs]])&gt;0,FALSE))</f>
        <v>0</v>
      </c>
      <c r="P83" s="21" t="b">
        <f>_xlfn.XOR(ckCodingTable[[#This Row],[wmd]]&lt;&gt;"",IFERROR(FIND("9102",ckCodingTable[[#This Row],[propPRCs]])&gt;0,FALSE))</f>
        <v>0</v>
      </c>
      <c r="Q83" t="s">
        <v>1968</v>
      </c>
      <c r="R83" s="22">
        <v>42951.484560185185</v>
      </c>
      <c r="S83" s="108">
        <f>S82+(ckCodingTable[[#This Row],[ILN]]&lt;"M")</f>
        <v>60</v>
      </c>
      <c r="T83" s="21" t="s">
        <v>1981</v>
      </c>
      <c r="U83" t="s">
        <v>1479</v>
      </c>
      <c r="V83" s="7" t="str">
        <f>HYPERLINK("https://www.ejacket.nsf.gov/ej/showProposal.do?ID="&amp;ckCodingTable[[#This Row],[prop_id]],"eJ")</f>
        <v>eJ</v>
      </c>
      <c r="W83" t="s">
        <v>742</v>
      </c>
      <c r="X83" t="s">
        <v>1479</v>
      </c>
      <c r="Y83" t="s">
        <v>1480</v>
      </c>
      <c r="Z83" t="s">
        <v>2338</v>
      </c>
      <c r="AA83" t="s">
        <v>2339</v>
      </c>
      <c r="AB83" s="113" t="str">
        <f>HYPERLINK("mailto:"&amp;ckCodingTable[[#This Row],[email]]&amp;"&amp;subject=Your NSF Proposal:  "&amp;ckCodingTable[[#This Row],[Div]]&amp;" "&amp;ckCodingTable[[#This Row],[prop_id]], ckCodingTable[[#This Row],[email]])</f>
        <v>byener@gmail.com</v>
      </c>
      <c r="AC83" s="30">
        <v>42978</v>
      </c>
      <c r="AD83">
        <v>36</v>
      </c>
      <c r="AE83">
        <v>1</v>
      </c>
      <c r="AG83" s="122"/>
      <c r="AH83" t="s">
        <v>2340</v>
      </c>
      <c r="AI83" s="26">
        <v>5</v>
      </c>
      <c r="AJ83" s="22">
        <v>42872.491666666669</v>
      </c>
      <c r="AK83" s="22">
        <v>1</v>
      </c>
      <c r="AL83">
        <v>3</v>
      </c>
      <c r="AN83" s="122"/>
      <c r="AO83" s="122"/>
      <c r="AP83" s="122"/>
      <c r="AQ83" s="122"/>
      <c r="AR83" s="123" t="str">
        <f>HYPERLINK("https://www.ejacket.nsf.gov/ej/showProposal.do?ID="&amp;ckCodingTable[[#This Row],[prop_id]],"eJ")</f>
        <v>eJ</v>
      </c>
      <c r="AS83" t="s">
        <v>1971</v>
      </c>
      <c r="AT83" t="s">
        <v>2341</v>
      </c>
      <c r="AU83" t="b">
        <f>IF(ckCodingTable[[#This Row],[ILN]]="N",SUBSTITUTE(AT82," ","")&lt;&gt;SUBSTITUTE(ckCodingTable[[#This Row],[prop_titl_txt]]," ",""), FALSE)</f>
        <v>0</v>
      </c>
      <c r="AV83">
        <v>0</v>
      </c>
      <c r="AW83" s="124">
        <v>1277934</v>
      </c>
      <c r="AX83" s="124">
        <v>1277934</v>
      </c>
      <c r="AY83" s="124">
        <v>60000</v>
      </c>
      <c r="AZ83" s="124"/>
      <c r="BA83" s="124"/>
      <c r="BB83" s="124"/>
      <c r="BC83">
        <v>9</v>
      </c>
      <c r="BD83">
        <v>12</v>
      </c>
      <c r="BE83">
        <v>6.75</v>
      </c>
      <c r="BG83">
        <v>3.6</v>
      </c>
      <c r="BH83">
        <v>0</v>
      </c>
      <c r="BI83">
        <v>0</v>
      </c>
      <c r="BJ83">
        <v>0</v>
      </c>
      <c r="BK83">
        <v>0</v>
      </c>
      <c r="BL83" t="s">
        <v>2342</v>
      </c>
    </row>
    <row r="84" spans="1:64">
      <c r="A84" s="30">
        <v>42954.675567129627</v>
      </c>
      <c r="B84" s="30">
        <v>42809.634027777778</v>
      </c>
      <c r="C84" t="s">
        <v>1965</v>
      </c>
      <c r="D84" t="s">
        <v>741</v>
      </c>
      <c r="E84" t="s">
        <v>901</v>
      </c>
      <c r="F84" t="s">
        <v>1966</v>
      </c>
      <c r="G84" t="s">
        <v>170</v>
      </c>
      <c r="H84" s="21" t="s">
        <v>94</v>
      </c>
      <c r="I84" s="86">
        <v>1</v>
      </c>
      <c r="J84" s="86">
        <v>0</v>
      </c>
      <c r="K84" t="s">
        <v>1967</v>
      </c>
      <c r="L84" t="s">
        <v>543</v>
      </c>
      <c r="M84" t="s">
        <v>2182</v>
      </c>
      <c r="N84" t="str">
        <f>IF(SUM(ckCodingTable[[#This Row],[NfmlPIs]:[NnonWhtAsnPIs]])&gt;0,"WMD","")</f>
        <v>WMD</v>
      </c>
      <c r="O84" t="b">
        <f>_xlfn.XOR(IFERROR(MATCH(ckCodingTable[[#This Row],[st_code]],EpscorTable[],0)&gt;0,FALSE),IFERROR(FIND("9150",ckCodingTable[[#This Row],[propPRCs]])&gt;0,FALSE))</f>
        <v>0</v>
      </c>
      <c r="P84" s="21" t="b">
        <f>_xlfn.XOR(ckCodingTable[[#This Row],[wmd]]&lt;&gt;"",IFERROR(FIND("9102",ckCodingTable[[#This Row],[propPRCs]])&gt;0,FALSE))</f>
        <v>0</v>
      </c>
      <c r="Q84" t="s">
        <v>2007</v>
      </c>
      <c r="R84" s="22">
        <v>42951.484560185185</v>
      </c>
      <c r="S84" s="108">
        <f>S83+(ckCodingTable[[#This Row],[ILN]]&lt;"M")</f>
        <v>60</v>
      </c>
      <c r="T84" s="21" t="s">
        <v>1989</v>
      </c>
      <c r="U84" t="s">
        <v>1479</v>
      </c>
      <c r="V84" s="7" t="str">
        <f>HYPERLINK("https://www.ejacket.nsf.gov/ej/showProposal.do?ID="&amp;ckCodingTable[[#This Row],[prop_id]],"eJ")</f>
        <v>eJ</v>
      </c>
      <c r="W84" t="s">
        <v>742</v>
      </c>
      <c r="X84" t="s">
        <v>2343</v>
      </c>
      <c r="Y84" t="s">
        <v>2344</v>
      </c>
      <c r="Z84" t="s">
        <v>2345</v>
      </c>
      <c r="AA84" t="s">
        <v>2346</v>
      </c>
      <c r="AB84" s="113" t="str">
        <f>HYPERLINK("mailto:"&amp;ckCodingTable[[#This Row],[email]]&amp;"&amp;subject=Your NSF Proposal:  "&amp;ckCodingTable[[#This Row],[Div]]&amp;" "&amp;ckCodingTable[[#This Row],[prop_id]], ckCodingTable[[#This Row],[email]])</f>
        <v>kk3ab@virginia.edu</v>
      </c>
      <c r="AC84" s="30">
        <v>42978</v>
      </c>
      <c r="AD84">
        <v>36</v>
      </c>
      <c r="AG84" s="122"/>
      <c r="AI84" s="26"/>
      <c r="AJ84" s="22"/>
      <c r="AN84" s="122"/>
      <c r="AO84" s="122"/>
      <c r="AP84" s="122"/>
      <c r="AQ84" s="122"/>
      <c r="AR84" s="123" t="str">
        <f>HYPERLINK("https://www.ejacket.nsf.gov/ej/showProposal.do?ID="&amp;ckCodingTable[[#This Row],[prop_id]],"eJ")</f>
        <v>eJ</v>
      </c>
      <c r="AS84" t="s">
        <v>1971</v>
      </c>
      <c r="AT84" t="s">
        <v>2341</v>
      </c>
      <c r="AU84" t="b">
        <f>IF(ckCodingTable[[#This Row],[ILN]]="N",SUBSTITUTE(AT83," ","")&lt;&gt;SUBSTITUTE(ckCodingTable[[#This Row],[prop_titl_txt]]," ",""), FALSE)</f>
        <v>0</v>
      </c>
      <c r="AV84">
        <v>0</v>
      </c>
      <c r="AW84" s="124">
        <v>222063</v>
      </c>
      <c r="AX84" s="124">
        <v>222063</v>
      </c>
      <c r="AY84" s="124"/>
      <c r="AZ84" s="124"/>
      <c r="BA84" s="124"/>
      <c r="BB84" s="124"/>
      <c r="BC84">
        <v>3</v>
      </c>
      <c r="BD84">
        <v>3</v>
      </c>
      <c r="BE84">
        <v>3</v>
      </c>
      <c r="BH84">
        <v>2</v>
      </c>
      <c r="BI84">
        <v>0</v>
      </c>
      <c r="BJ84">
        <v>0</v>
      </c>
      <c r="BK84">
        <v>0</v>
      </c>
      <c r="BL84" t="s">
        <v>2347</v>
      </c>
    </row>
    <row r="85" spans="1:64">
      <c r="A85" s="30"/>
      <c r="B85" s="30">
        <v>42930.554166666669</v>
      </c>
      <c r="C85" t="s">
        <v>242</v>
      </c>
      <c r="D85" t="s">
        <v>741</v>
      </c>
      <c r="E85" t="s">
        <v>528</v>
      </c>
      <c r="F85" t="s">
        <v>172</v>
      </c>
      <c r="G85" t="s">
        <v>170</v>
      </c>
      <c r="H85" s="21" t="s">
        <v>94</v>
      </c>
      <c r="I85" s="86">
        <v>1</v>
      </c>
      <c r="J85" s="86">
        <v>0</v>
      </c>
      <c r="K85" t="s">
        <v>743</v>
      </c>
      <c r="L85" t="s">
        <v>540</v>
      </c>
      <c r="M85" t="s">
        <v>745</v>
      </c>
      <c r="N85" t="str">
        <f>IF(SUM(ckCodingTable[[#This Row],[NfmlPIs]:[NnonWhtAsnPIs]])&gt;0,"WMD","")</f>
        <v/>
      </c>
      <c r="O85" t="b">
        <f>_xlfn.XOR(IFERROR(MATCH(ckCodingTable[[#This Row],[st_code]],EpscorTable[],0)&gt;0,FALSE),IFERROR(FIND("9150",ckCodingTable[[#This Row],[propPRCs]])&gt;0,FALSE))</f>
        <v>0</v>
      </c>
      <c r="P85" s="21" t="b">
        <f>_xlfn.XOR(ckCodingTable[[#This Row],[wmd]]&lt;&gt;"",IFERROR(FIND("9102",ckCodingTable[[#This Row],[propPRCs]])&gt;0,FALSE))</f>
        <v>0</v>
      </c>
      <c r="Q85" t="s">
        <v>744</v>
      </c>
      <c r="R85" s="22">
        <v>43076.608981481484</v>
      </c>
      <c r="S85" s="108">
        <f>S84+(ckCodingTable[[#This Row],[ILN]]&lt;"M")</f>
        <v>61</v>
      </c>
      <c r="T85" s="21" t="s">
        <v>96</v>
      </c>
      <c r="U85" t="s">
        <v>541</v>
      </c>
      <c r="V85" s="7" t="str">
        <f>HYPERLINK("https://www.ejacket.nsf.gov/ej/showProposal.do?ID="&amp;ckCodingTable[[#This Row],[prop_id]],"eJ")</f>
        <v>eJ</v>
      </c>
      <c r="W85" t="s">
        <v>742</v>
      </c>
      <c r="X85" t="s">
        <v>541</v>
      </c>
      <c r="Y85" t="s">
        <v>542</v>
      </c>
      <c r="Z85" t="s">
        <v>746</v>
      </c>
      <c r="AA85" t="s">
        <v>747</v>
      </c>
      <c r="AB85" s="113" t="str">
        <f>HYPERLINK("mailto:"&amp;ckCodingTable[[#This Row],[email]]&amp;"&amp;subject=Your NSF Proposal:  "&amp;ckCodingTable[[#This Row],[Div]]&amp;" "&amp;ckCodingTable[[#This Row],[prop_id]], ckCodingTable[[#This Row],[email]])</f>
        <v>steffen.borgwardt@ucdenver.edu</v>
      </c>
      <c r="AC85" s="30">
        <v>43101</v>
      </c>
      <c r="AD85">
        <v>60</v>
      </c>
      <c r="AE85">
        <v>1</v>
      </c>
      <c r="AG85" s="122">
        <v>1</v>
      </c>
      <c r="AH85" t="s">
        <v>748</v>
      </c>
      <c r="AI85" s="26">
        <v>3.75</v>
      </c>
      <c r="AJ85" s="22">
        <v>43031.583333333336</v>
      </c>
      <c r="AL85">
        <v>4</v>
      </c>
      <c r="AN85" s="122">
        <v>4</v>
      </c>
      <c r="AO85" s="122"/>
      <c r="AP85" s="122"/>
      <c r="AQ85" s="122"/>
      <c r="AR85" s="123" t="str">
        <f>HYPERLINK("https://www.ejacket.nsf.gov/ej/showProposal.do?ID="&amp;ckCodingTable[[#This Row],[prop_id]],"eJ")</f>
        <v>eJ</v>
      </c>
      <c r="AS85" t="s">
        <v>173</v>
      </c>
      <c r="AT85" t="s">
        <v>749</v>
      </c>
      <c r="AU85" t="b">
        <f>IF(ckCodingTable[[#This Row],[ILN]]="N",SUBSTITUTE(AT84," ","")&lt;&gt;SUBSTITUTE(ckCodingTable[[#This Row],[prop_titl_txt]]," ",""), FALSE)</f>
        <v>0</v>
      </c>
      <c r="AV85">
        <v>0</v>
      </c>
      <c r="AW85" s="124">
        <v>470400</v>
      </c>
      <c r="AX85" s="124">
        <v>470400</v>
      </c>
      <c r="AY85" s="124"/>
      <c r="AZ85" s="124">
        <v>9600</v>
      </c>
      <c r="BA85" s="124"/>
      <c r="BB85" s="124"/>
      <c r="BC85">
        <v>5</v>
      </c>
      <c r="BD85">
        <v>5</v>
      </c>
      <c r="BE85">
        <v>7.5</v>
      </c>
      <c r="BH85">
        <v>0</v>
      </c>
      <c r="BI85">
        <v>0</v>
      </c>
      <c r="BJ85">
        <v>0</v>
      </c>
      <c r="BK85">
        <v>0</v>
      </c>
      <c r="BL85" t="s">
        <v>750</v>
      </c>
    </row>
    <row r="86" spans="1:64">
      <c r="A86" s="30"/>
      <c r="B86" s="30">
        <v>42933.444444444445</v>
      </c>
      <c r="C86" t="s">
        <v>242</v>
      </c>
      <c r="D86" t="s">
        <v>2348</v>
      </c>
      <c r="E86" t="s">
        <v>903</v>
      </c>
      <c r="F86" t="s">
        <v>172</v>
      </c>
      <c r="G86" t="s">
        <v>170</v>
      </c>
      <c r="H86" s="21" t="s">
        <v>94</v>
      </c>
      <c r="I86" s="86">
        <v>1</v>
      </c>
      <c r="J86" s="86">
        <v>0</v>
      </c>
      <c r="K86" t="s">
        <v>2349</v>
      </c>
      <c r="L86" t="s">
        <v>1488</v>
      </c>
      <c r="M86" t="s">
        <v>2065</v>
      </c>
      <c r="N86" t="str">
        <f>IF(SUM(ckCodingTable[[#This Row],[NfmlPIs]:[NnonWhtAsnPIs]])&gt;0,"WMD","")</f>
        <v/>
      </c>
      <c r="O86" t="b">
        <f>_xlfn.XOR(IFERROR(MATCH(ckCodingTable[[#This Row],[st_code]],EpscorTable[],0)&gt;0,FALSE),IFERROR(FIND("9150",ckCodingTable[[#This Row],[propPRCs]])&gt;0,FALSE))</f>
        <v>0</v>
      </c>
      <c r="P86" s="21" t="b">
        <f>_xlfn.XOR(ckCodingTable[[#This Row],[wmd]]&lt;&gt;"",IFERROR(FIND("9102",ckCodingTable[[#This Row],[propPRCs]])&gt;0,FALSE))</f>
        <v>0</v>
      </c>
      <c r="Q86" t="s">
        <v>2350</v>
      </c>
      <c r="R86" s="22">
        <v>43068.644884259258</v>
      </c>
      <c r="S86" s="108">
        <f>S85+(ckCodingTable[[#This Row],[ILN]]&lt;"M")</f>
        <v>62</v>
      </c>
      <c r="T86" s="21" t="s">
        <v>96</v>
      </c>
      <c r="U86" t="s">
        <v>1486</v>
      </c>
      <c r="V86" s="7" t="str">
        <f>HYPERLINK("https://www.ejacket.nsf.gov/ej/showProposal.do?ID="&amp;ckCodingTable[[#This Row],[prop_id]],"eJ")</f>
        <v>eJ</v>
      </c>
      <c r="W86" t="s">
        <v>2351</v>
      </c>
      <c r="X86" t="s">
        <v>1486</v>
      </c>
      <c r="Y86" t="s">
        <v>1065</v>
      </c>
      <c r="Z86" t="s">
        <v>2066</v>
      </c>
      <c r="AA86" t="s">
        <v>2067</v>
      </c>
      <c r="AB86" s="113" t="str">
        <f>HYPERLINK("mailto:"&amp;ckCodingTable[[#This Row],[email]]&amp;"&amp;subject=Your NSF Proposal:  "&amp;ckCodingTable[[#This Row],[Div]]&amp;" "&amp;ckCodingTable[[#This Row],[prop_id]], ckCodingTable[[#This Row],[email]])</f>
        <v>tianbao-yang@uiowa.edu</v>
      </c>
      <c r="AC86" s="30">
        <v>43252</v>
      </c>
      <c r="AD86">
        <v>60</v>
      </c>
      <c r="AE86">
        <v>2</v>
      </c>
      <c r="AG86" s="122"/>
      <c r="AH86" t="s">
        <v>2352</v>
      </c>
      <c r="AI86" s="26">
        <v>6</v>
      </c>
      <c r="AJ86" s="22">
        <v>43060.395138888889</v>
      </c>
      <c r="AL86">
        <v>7</v>
      </c>
      <c r="AN86" s="122"/>
      <c r="AO86" s="122"/>
      <c r="AP86" s="122"/>
      <c r="AQ86" s="122"/>
      <c r="AR86" s="123" t="str">
        <f>HYPERLINK("https://www.ejacket.nsf.gov/ej/showProposal.do?ID="&amp;ckCodingTable[[#This Row],[prop_id]],"eJ")</f>
        <v>eJ</v>
      </c>
      <c r="AS86" t="s">
        <v>2353</v>
      </c>
      <c r="AT86" t="s">
        <v>2354</v>
      </c>
      <c r="AU86" t="b">
        <f>IF(ckCodingTable[[#This Row],[ILN]]="N",SUBSTITUTE(AT85," ","")&lt;&gt;SUBSTITUTE(ckCodingTable[[#This Row],[prop_titl_txt]]," ",""), FALSE)</f>
        <v>0</v>
      </c>
      <c r="AV86">
        <v>0</v>
      </c>
      <c r="AW86" s="124">
        <v>543913</v>
      </c>
      <c r="AX86" s="124">
        <v>543913</v>
      </c>
      <c r="AY86" s="124"/>
      <c r="AZ86" s="124">
        <v>15500</v>
      </c>
      <c r="BA86" s="124"/>
      <c r="BB86" s="124"/>
      <c r="BC86">
        <v>10</v>
      </c>
      <c r="BD86">
        <v>5</v>
      </c>
      <c r="BE86">
        <v>5</v>
      </c>
      <c r="BH86">
        <v>0</v>
      </c>
      <c r="BI86">
        <v>0</v>
      </c>
      <c r="BJ86">
        <v>0</v>
      </c>
      <c r="BK86">
        <v>0</v>
      </c>
      <c r="BL86" t="s">
        <v>2069</v>
      </c>
    </row>
    <row r="87" spans="1:64">
      <c r="A87" s="30"/>
      <c r="B87" s="30">
        <v>42933.547222222223</v>
      </c>
      <c r="C87" t="s">
        <v>242</v>
      </c>
      <c r="D87" t="s">
        <v>741</v>
      </c>
      <c r="E87" t="s">
        <v>528</v>
      </c>
      <c r="F87" t="s">
        <v>172</v>
      </c>
      <c r="G87" t="s">
        <v>170</v>
      </c>
      <c r="H87" s="21" t="s">
        <v>94</v>
      </c>
      <c r="I87" s="86">
        <v>1</v>
      </c>
      <c r="J87" s="86">
        <v>0</v>
      </c>
      <c r="K87" t="s">
        <v>743</v>
      </c>
      <c r="L87" t="s">
        <v>540</v>
      </c>
      <c r="M87" t="s">
        <v>2192</v>
      </c>
      <c r="N87" t="str">
        <f>IF(SUM(ckCodingTable[[#This Row],[NfmlPIs]:[NnonWhtAsnPIs]])&gt;0,"WMD","")</f>
        <v/>
      </c>
      <c r="O87" t="b">
        <f>_xlfn.XOR(IFERROR(MATCH(ckCodingTable[[#This Row],[st_code]],EpscorTable[],0)&gt;0,FALSE),IFERROR(FIND("9150",ckCodingTable[[#This Row],[propPRCs]])&gt;0,FALSE))</f>
        <v>0</v>
      </c>
      <c r="P87" s="21" t="b">
        <f>_xlfn.XOR(ckCodingTable[[#This Row],[wmd]]&lt;&gt;"",IFERROR(FIND("9102",ckCodingTable[[#This Row],[propPRCs]])&gt;0,FALSE))</f>
        <v>0</v>
      </c>
      <c r="Q87" t="s">
        <v>751</v>
      </c>
      <c r="S87" s="108">
        <f>S86+(ckCodingTable[[#This Row],[ILN]]&lt;"M")</f>
        <v>63</v>
      </c>
      <c r="T87" s="21" t="s">
        <v>96</v>
      </c>
      <c r="U87" t="s">
        <v>565</v>
      </c>
      <c r="V87" s="7" t="str">
        <f>HYPERLINK("https://www.ejacket.nsf.gov/ej/showProposal.do?ID="&amp;ckCodingTable[[#This Row],[prop_id]],"eJ")</f>
        <v>eJ</v>
      </c>
      <c r="W87" t="s">
        <v>742</v>
      </c>
      <c r="X87" t="s">
        <v>565</v>
      </c>
      <c r="Y87" t="s">
        <v>336</v>
      </c>
      <c r="Z87" t="s">
        <v>752</v>
      </c>
      <c r="AA87" t="s">
        <v>753</v>
      </c>
      <c r="AB87" s="113" t="str">
        <f>HYPERLINK("mailto:"&amp;ckCodingTable[[#This Row],[email]]&amp;"&amp;subject=Your NSF Proposal:  "&amp;ckCodingTable[[#This Row],[Div]]&amp;" "&amp;ckCodingTable[[#This Row],[prop_id]], ckCodingTable[[#This Row],[email]])</f>
        <v>haitao.wang@usu.edu</v>
      </c>
      <c r="AC87" s="30">
        <v>43221</v>
      </c>
      <c r="AD87">
        <v>60</v>
      </c>
      <c r="AE87">
        <v>1</v>
      </c>
      <c r="AG87" s="122">
        <v>1</v>
      </c>
      <c r="AH87" t="s">
        <v>754</v>
      </c>
      <c r="AI87" s="26">
        <v>6.25</v>
      </c>
      <c r="AJ87" s="22">
        <v>43030.179166666669</v>
      </c>
      <c r="AL87">
        <v>4</v>
      </c>
      <c r="AN87" s="122">
        <v>4</v>
      </c>
      <c r="AO87" s="122"/>
      <c r="AP87" s="122"/>
      <c r="AQ87" s="122"/>
      <c r="AR87" s="123" t="str">
        <f>HYPERLINK("https://www.ejacket.nsf.gov/ej/showProposal.do?ID="&amp;ckCodingTable[[#This Row],[prop_id]],"eJ")</f>
        <v>eJ</v>
      </c>
      <c r="AS87" t="s">
        <v>173</v>
      </c>
      <c r="AT87" t="s">
        <v>755</v>
      </c>
      <c r="AU87" t="b">
        <f>IF(ckCodingTable[[#This Row],[ILN]]="N",SUBSTITUTE(AT86," ","")&lt;&gt;SUBSTITUTE(ckCodingTable[[#This Row],[prop_titl_txt]]," ",""), FALSE)</f>
        <v>0</v>
      </c>
      <c r="AV87">
        <v>0</v>
      </c>
      <c r="AW87" s="124">
        <v>524898</v>
      </c>
      <c r="AX87" s="124">
        <v>524898</v>
      </c>
      <c r="AY87" s="124"/>
      <c r="AZ87" s="124">
        <v>15000</v>
      </c>
      <c r="BA87" s="124"/>
      <c r="BB87" s="124"/>
      <c r="BC87">
        <v>10</v>
      </c>
      <c r="BD87">
        <v>5</v>
      </c>
      <c r="BE87">
        <v>5</v>
      </c>
      <c r="BH87">
        <v>0</v>
      </c>
      <c r="BI87">
        <v>0</v>
      </c>
      <c r="BJ87">
        <v>0</v>
      </c>
      <c r="BK87">
        <v>0</v>
      </c>
      <c r="BL87" t="s">
        <v>756</v>
      </c>
    </row>
    <row r="88" spans="1:64">
      <c r="A88" s="30"/>
      <c r="B88" s="30">
        <v>42933.579861111109</v>
      </c>
      <c r="C88" t="s">
        <v>242</v>
      </c>
      <c r="D88" t="s">
        <v>741</v>
      </c>
      <c r="E88" t="s">
        <v>528</v>
      </c>
      <c r="F88" t="s">
        <v>172</v>
      </c>
      <c r="G88" t="s">
        <v>170</v>
      </c>
      <c r="H88" s="21" t="s">
        <v>94</v>
      </c>
      <c r="I88" s="86">
        <v>1</v>
      </c>
      <c r="J88" s="86">
        <v>0</v>
      </c>
      <c r="K88" t="s">
        <v>743</v>
      </c>
      <c r="L88" t="s">
        <v>1530</v>
      </c>
      <c r="M88" t="s">
        <v>2107</v>
      </c>
      <c r="N88" t="str">
        <f>IF(SUM(ckCodingTable[[#This Row],[NfmlPIs]:[NnonWhtAsnPIs]])&gt;0,"WMD","")</f>
        <v/>
      </c>
      <c r="O88" t="b">
        <f>_xlfn.XOR(IFERROR(MATCH(ckCodingTable[[#This Row],[st_code]],EpscorTable[],0)&gt;0,FALSE),IFERROR(FIND("9150",ckCodingTable[[#This Row],[propPRCs]])&gt;0,FALSE))</f>
        <v>0</v>
      </c>
      <c r="P88" s="21" t="b">
        <f>_xlfn.XOR(ckCodingTable[[#This Row],[wmd]]&lt;&gt;"",IFERROR(FIND("9102",ckCodingTable[[#This Row],[propPRCs]])&gt;0,FALSE))</f>
        <v>0</v>
      </c>
      <c r="Q88" t="s">
        <v>779</v>
      </c>
      <c r="S88" s="108">
        <f>S87+(ckCodingTable[[#This Row],[ILN]]&lt;"M")</f>
        <v>64</v>
      </c>
      <c r="T88" s="21" t="s">
        <v>96</v>
      </c>
      <c r="U88" t="s">
        <v>1522</v>
      </c>
      <c r="V88" s="7" t="str">
        <f>HYPERLINK("https://www.ejacket.nsf.gov/ej/showProposal.do?ID="&amp;ckCodingTable[[#This Row],[prop_id]],"eJ")</f>
        <v>eJ</v>
      </c>
      <c r="W88" t="s">
        <v>742</v>
      </c>
      <c r="X88" t="s">
        <v>1522</v>
      </c>
      <c r="Y88" t="s">
        <v>1523</v>
      </c>
      <c r="Z88" t="s">
        <v>789</v>
      </c>
      <c r="AA88" t="s">
        <v>2127</v>
      </c>
      <c r="AB88" s="113" t="str">
        <f>HYPERLINK("mailto:"&amp;ckCodingTable[[#This Row],[email]]&amp;"&amp;subject=Your NSF Proposal:  "&amp;ckCodingTable[[#This Row],[Div]]&amp;" "&amp;ckCodingTable[[#This Row],[prop_id]], ckCodingTable[[#This Row],[email]])</f>
        <v>bmoseley@seas.wustl.edu</v>
      </c>
      <c r="AC88" s="30">
        <v>43282</v>
      </c>
      <c r="AD88">
        <v>60</v>
      </c>
      <c r="AE88">
        <v>1</v>
      </c>
      <c r="AG88" s="122">
        <v>1</v>
      </c>
      <c r="AH88" t="s">
        <v>2355</v>
      </c>
      <c r="AI88" s="26">
        <v>6.8</v>
      </c>
      <c r="AJ88" s="22">
        <v>43032.510416666664</v>
      </c>
      <c r="AK88" s="22">
        <v>1</v>
      </c>
      <c r="AL88">
        <v>5</v>
      </c>
      <c r="AN88" s="122">
        <v>5</v>
      </c>
      <c r="AO88" s="122"/>
      <c r="AP88" s="122"/>
      <c r="AQ88" s="122"/>
      <c r="AR88" s="123" t="str">
        <f>HYPERLINK("https://www.ejacket.nsf.gov/ej/showProposal.do?ID="&amp;ckCodingTable[[#This Row],[prop_id]],"eJ")</f>
        <v>eJ</v>
      </c>
      <c r="AS88" t="s">
        <v>173</v>
      </c>
      <c r="AT88" t="s">
        <v>2356</v>
      </c>
      <c r="AU88" t="b">
        <f>IF(ckCodingTable[[#This Row],[ILN]]="N",SUBSTITUTE(AT87," ","")&lt;&gt;SUBSTITUTE(ckCodingTable[[#This Row],[prop_titl_txt]]," ",""), FALSE)</f>
        <v>0</v>
      </c>
      <c r="AV88">
        <v>0</v>
      </c>
      <c r="AW88" s="124">
        <v>545000</v>
      </c>
      <c r="AX88" s="124">
        <v>545000</v>
      </c>
      <c r="AY88" s="124"/>
      <c r="AZ88" s="124"/>
      <c r="BA88" s="124"/>
      <c r="BB88" s="124">
        <v>8000</v>
      </c>
      <c r="BC88">
        <v>5</v>
      </c>
      <c r="BD88">
        <v>5</v>
      </c>
      <c r="BE88">
        <v>6.5</v>
      </c>
      <c r="BH88">
        <v>0</v>
      </c>
      <c r="BI88">
        <v>0</v>
      </c>
      <c r="BJ88">
        <v>0</v>
      </c>
      <c r="BK88">
        <v>0</v>
      </c>
      <c r="BL88" t="s">
        <v>2357</v>
      </c>
    </row>
    <row r="89" spans="1:64">
      <c r="A89" s="30"/>
      <c r="B89" s="30">
        <v>42933.713888888888</v>
      </c>
      <c r="C89" t="s">
        <v>242</v>
      </c>
      <c r="D89" t="s">
        <v>741</v>
      </c>
      <c r="E89" t="s">
        <v>528</v>
      </c>
      <c r="F89" t="s">
        <v>172</v>
      </c>
      <c r="G89" t="s">
        <v>170</v>
      </c>
      <c r="H89" s="21" t="s">
        <v>94</v>
      </c>
      <c r="I89" s="86">
        <v>1</v>
      </c>
      <c r="J89" s="86">
        <v>0</v>
      </c>
      <c r="K89" t="s">
        <v>743</v>
      </c>
      <c r="L89" t="s">
        <v>540</v>
      </c>
      <c r="M89" t="s">
        <v>254</v>
      </c>
      <c r="N89" t="str">
        <f>IF(SUM(ckCodingTable[[#This Row],[NfmlPIs]:[NnonWhtAsnPIs]])&gt;0,"WMD","")</f>
        <v/>
      </c>
      <c r="O89" t="b">
        <f>_xlfn.XOR(IFERROR(MATCH(ckCodingTable[[#This Row],[st_code]],EpscorTable[],0)&gt;0,FALSE),IFERROR(FIND("9150",ckCodingTable[[#This Row],[propPRCs]])&gt;0,FALSE))</f>
        <v>0</v>
      </c>
      <c r="P89" s="21" t="b">
        <f>_xlfn.XOR(ckCodingTable[[#This Row],[wmd]]&lt;&gt;"",IFERROR(FIND("9102",ckCodingTable[[#This Row],[propPRCs]])&gt;0,FALSE))</f>
        <v>0</v>
      </c>
      <c r="Q89" t="s">
        <v>744</v>
      </c>
      <c r="S89" s="108">
        <f>S88+(ckCodingTable[[#This Row],[ILN]]&lt;"M")</f>
        <v>65</v>
      </c>
      <c r="T89" s="21" t="s">
        <v>96</v>
      </c>
      <c r="U89" t="s">
        <v>585</v>
      </c>
      <c r="V89" s="7" t="str">
        <f>HYPERLINK("https://www.ejacket.nsf.gov/ej/showProposal.do?ID="&amp;ckCodingTable[[#This Row],[prop_id]],"eJ")</f>
        <v>eJ</v>
      </c>
      <c r="W89" t="s">
        <v>742</v>
      </c>
      <c r="X89" t="s">
        <v>585</v>
      </c>
      <c r="Y89" t="s">
        <v>586</v>
      </c>
      <c r="Z89" t="s">
        <v>757</v>
      </c>
      <c r="AA89" t="s">
        <v>247</v>
      </c>
      <c r="AB89" s="113" t="str">
        <f>HYPERLINK("mailto:"&amp;ckCodingTable[[#This Row],[email]]&amp;"&amp;subject=Your NSF Proposal:  "&amp;ckCodingTable[[#This Row],[Div]]&amp;" "&amp;ckCodingTable[[#This Row],[prop_id]], ckCodingTable[[#This Row],[email]])</f>
        <v>delpia@wisc.edu</v>
      </c>
      <c r="AC89" s="30">
        <v>43344</v>
      </c>
      <c r="AD89">
        <v>60</v>
      </c>
      <c r="AE89">
        <v>1</v>
      </c>
      <c r="AG89" s="122">
        <v>1</v>
      </c>
      <c r="AH89" t="s">
        <v>758</v>
      </c>
      <c r="AI89" s="26">
        <v>7</v>
      </c>
      <c r="AJ89" s="22">
        <v>43031.584027777775</v>
      </c>
      <c r="AL89">
        <v>4</v>
      </c>
      <c r="AN89" s="122">
        <v>4</v>
      </c>
      <c r="AO89" s="122"/>
      <c r="AP89" s="122"/>
      <c r="AQ89" s="122"/>
      <c r="AR89" s="123" t="str">
        <f>HYPERLINK("https://www.ejacket.nsf.gov/ej/showProposal.do?ID="&amp;ckCodingTable[[#This Row],[prop_id]],"eJ")</f>
        <v>eJ</v>
      </c>
      <c r="AS89" t="s">
        <v>173</v>
      </c>
      <c r="AT89" t="s">
        <v>759</v>
      </c>
      <c r="AU89" t="b">
        <f>IF(ckCodingTable[[#This Row],[ILN]]="N",SUBSTITUTE(AT88," ","")&lt;&gt;SUBSTITUTE(ckCodingTable[[#This Row],[prop_titl_txt]]," ",""), FALSE)</f>
        <v>0</v>
      </c>
      <c r="AV89">
        <v>0</v>
      </c>
      <c r="AW89" s="124">
        <v>500000</v>
      </c>
      <c r="AX89" s="124">
        <v>500000</v>
      </c>
      <c r="AY89" s="124"/>
      <c r="AZ89" s="124">
        <v>12416</v>
      </c>
      <c r="BA89" s="124"/>
      <c r="BB89" s="124"/>
      <c r="BC89">
        <v>5</v>
      </c>
      <c r="BD89">
        <v>5</v>
      </c>
      <c r="BE89">
        <v>5</v>
      </c>
      <c r="BH89">
        <v>0</v>
      </c>
      <c r="BI89">
        <v>0</v>
      </c>
      <c r="BJ89">
        <v>0</v>
      </c>
      <c r="BK89">
        <v>0</v>
      </c>
      <c r="BL89" t="s">
        <v>760</v>
      </c>
    </row>
    <row r="90" spans="1:64">
      <c r="A90" s="30"/>
      <c r="B90" s="30">
        <v>42933.820138888892</v>
      </c>
      <c r="C90" t="s">
        <v>242</v>
      </c>
      <c r="D90" t="s">
        <v>741</v>
      </c>
      <c r="E90" t="s">
        <v>528</v>
      </c>
      <c r="F90" t="s">
        <v>172</v>
      </c>
      <c r="G90" t="s">
        <v>170</v>
      </c>
      <c r="H90" s="21" t="s">
        <v>94</v>
      </c>
      <c r="I90" s="86">
        <v>1</v>
      </c>
      <c r="J90" s="86">
        <v>0</v>
      </c>
      <c r="K90" t="s">
        <v>743</v>
      </c>
      <c r="L90" t="s">
        <v>540</v>
      </c>
      <c r="M90" t="s">
        <v>255</v>
      </c>
      <c r="N90" t="str">
        <f>IF(SUM(ckCodingTable[[#This Row],[NfmlPIs]:[NnonWhtAsnPIs]])&gt;0,"WMD","")</f>
        <v/>
      </c>
      <c r="O90" t="b">
        <f>_xlfn.XOR(IFERROR(MATCH(ckCodingTable[[#This Row],[st_code]],EpscorTable[],0)&gt;0,FALSE),IFERROR(FIND("9150",ckCodingTable[[#This Row],[propPRCs]])&gt;0,FALSE))</f>
        <v>0</v>
      </c>
      <c r="P90" s="21" t="b">
        <f>_xlfn.XOR(ckCodingTable[[#This Row],[wmd]]&lt;&gt;"",IFERROR(FIND("9102",ckCodingTable[[#This Row],[propPRCs]])&gt;0,FALSE))</f>
        <v>0</v>
      </c>
      <c r="Q90" t="s">
        <v>744</v>
      </c>
      <c r="S90" s="108">
        <f>S89+(ckCodingTable[[#This Row],[ILN]]&lt;"M")</f>
        <v>66</v>
      </c>
      <c r="T90" s="21" t="s">
        <v>96</v>
      </c>
      <c r="U90" t="s">
        <v>596</v>
      </c>
      <c r="V90" s="7" t="str">
        <f>HYPERLINK("https://www.ejacket.nsf.gov/ej/showProposal.do?ID="&amp;ckCodingTable[[#This Row],[prop_id]],"eJ")</f>
        <v>eJ</v>
      </c>
      <c r="W90" t="s">
        <v>742</v>
      </c>
      <c r="X90" t="s">
        <v>596</v>
      </c>
      <c r="Y90" t="s">
        <v>337</v>
      </c>
      <c r="Z90" t="s">
        <v>761</v>
      </c>
      <c r="AA90" t="s">
        <v>244</v>
      </c>
      <c r="AB90" s="113" t="str">
        <f>HYPERLINK("mailto:"&amp;ckCodingTable[[#This Row],[email]]&amp;"&amp;subject=Your NSF Proposal:  "&amp;ckCodingTable[[#This Row],[Div]]&amp;" "&amp;ckCodingTable[[#This Row],[prop_id]], ckCodingTable[[#This Row],[email]])</f>
        <v>yintat@uw.edu</v>
      </c>
      <c r="AC90" s="30">
        <v>43175</v>
      </c>
      <c r="AD90">
        <v>60</v>
      </c>
      <c r="AE90">
        <v>1</v>
      </c>
      <c r="AG90" s="122">
        <v>1</v>
      </c>
      <c r="AH90" t="s">
        <v>762</v>
      </c>
      <c r="AI90" s="26">
        <v>8</v>
      </c>
      <c r="AJ90" s="22">
        <v>43031.375694444447</v>
      </c>
      <c r="AK90" s="22">
        <v>3</v>
      </c>
      <c r="AL90">
        <v>4</v>
      </c>
      <c r="AN90" s="122">
        <v>4</v>
      </c>
      <c r="AO90" s="122"/>
      <c r="AP90" s="122"/>
      <c r="AQ90" s="122"/>
      <c r="AR90" s="123" t="str">
        <f>HYPERLINK("https://www.ejacket.nsf.gov/ej/showProposal.do?ID="&amp;ckCodingTable[[#This Row],[prop_id]],"eJ")</f>
        <v>eJ</v>
      </c>
      <c r="AS90" t="s">
        <v>173</v>
      </c>
      <c r="AT90" t="s">
        <v>763</v>
      </c>
      <c r="AU90" t="b">
        <f>IF(ckCodingTable[[#This Row],[ILN]]="N",SUBSTITUTE(AT89," ","")&lt;&gt;SUBSTITUTE(ckCodingTable[[#This Row],[prop_titl_txt]]," ",""), FALSE)</f>
        <v>0</v>
      </c>
      <c r="AV90">
        <v>0</v>
      </c>
      <c r="AW90" s="124">
        <v>549841</v>
      </c>
      <c r="AX90" s="124">
        <v>549841</v>
      </c>
      <c r="AY90" s="124"/>
      <c r="AZ90" s="124"/>
      <c r="BA90" s="124"/>
      <c r="BB90" s="124"/>
      <c r="BC90">
        <v>5</v>
      </c>
      <c r="BD90">
        <v>5</v>
      </c>
      <c r="BE90">
        <v>2.5</v>
      </c>
      <c r="BG90">
        <v>2.5</v>
      </c>
      <c r="BH90">
        <v>0</v>
      </c>
      <c r="BI90">
        <v>0</v>
      </c>
      <c r="BJ90">
        <v>0</v>
      </c>
      <c r="BK90">
        <v>0</v>
      </c>
      <c r="BL90" t="s">
        <v>764</v>
      </c>
    </row>
    <row r="91" spans="1:64">
      <c r="A91" s="30"/>
      <c r="B91" s="30">
        <v>42934.453472222223</v>
      </c>
      <c r="C91" t="s">
        <v>242</v>
      </c>
      <c r="D91" t="s">
        <v>741</v>
      </c>
      <c r="E91" t="s">
        <v>528</v>
      </c>
      <c r="F91" t="s">
        <v>172</v>
      </c>
      <c r="G91" t="s">
        <v>170</v>
      </c>
      <c r="H91" s="21" t="s">
        <v>94</v>
      </c>
      <c r="I91" s="86">
        <v>1</v>
      </c>
      <c r="J91" s="86">
        <v>0</v>
      </c>
      <c r="K91" t="s">
        <v>743</v>
      </c>
      <c r="L91" t="s">
        <v>1530</v>
      </c>
      <c r="M91" t="s">
        <v>256</v>
      </c>
      <c r="N91" t="str">
        <f>IF(SUM(ckCodingTable[[#This Row],[NfmlPIs]:[NnonWhtAsnPIs]])&gt;0,"WMD","")</f>
        <v/>
      </c>
      <c r="O91" t="b">
        <f>_xlfn.XOR(IFERROR(MATCH(ckCodingTable[[#This Row],[st_code]],EpscorTable[],0)&gt;0,FALSE),IFERROR(FIND("9150",ckCodingTable[[#This Row],[propPRCs]])&gt;0,FALSE))</f>
        <v>0</v>
      </c>
      <c r="P91" s="21" t="b">
        <f>_xlfn.XOR(ckCodingTable[[#This Row],[wmd]]&lt;&gt;"",IFERROR(FIND("9102",ckCodingTable[[#This Row],[propPRCs]])&gt;0,FALSE))</f>
        <v>0</v>
      </c>
      <c r="Q91" t="s">
        <v>744</v>
      </c>
      <c r="S91" s="108">
        <f>S90+(ckCodingTable[[#This Row],[ILN]]&lt;"M")</f>
        <v>67</v>
      </c>
      <c r="T91" s="21" t="s">
        <v>96</v>
      </c>
      <c r="U91" t="s">
        <v>1532</v>
      </c>
      <c r="V91" s="7" t="str">
        <f>HYPERLINK("https://www.ejacket.nsf.gov/ej/showProposal.do?ID="&amp;ckCodingTable[[#This Row],[prop_id]],"eJ")</f>
        <v>eJ</v>
      </c>
      <c r="W91" t="s">
        <v>742</v>
      </c>
      <c r="X91" t="s">
        <v>1532</v>
      </c>
      <c r="Y91" t="s">
        <v>1533</v>
      </c>
      <c r="Z91" t="s">
        <v>2358</v>
      </c>
      <c r="AA91" t="s">
        <v>2359</v>
      </c>
      <c r="AB91" s="113" t="str">
        <f>HYPERLINK("mailto:"&amp;ckCodingTable[[#This Row],[email]]&amp;"&amp;subject=Your NSF Proposal:  "&amp;ckCodingTable[[#This Row],[Div]]&amp;" "&amp;ckCodingTable[[#This Row],[prop_id]], ckCodingTable[[#This Row],[email]])</f>
        <v>sim3@ucmerced.edu</v>
      </c>
      <c r="AC91" s="30">
        <v>43282</v>
      </c>
      <c r="AD91">
        <v>60</v>
      </c>
      <c r="AE91">
        <v>1</v>
      </c>
      <c r="AG91" s="122">
        <v>1</v>
      </c>
      <c r="AH91" t="s">
        <v>338</v>
      </c>
      <c r="AI91" s="26">
        <v>6.5</v>
      </c>
      <c r="AJ91" s="22">
        <v>43032.518055555556</v>
      </c>
      <c r="AL91">
        <v>4</v>
      </c>
      <c r="AN91" s="122">
        <v>4</v>
      </c>
      <c r="AO91" s="122"/>
      <c r="AP91" s="122"/>
      <c r="AQ91" s="122"/>
      <c r="AR91" s="123" t="str">
        <f>HYPERLINK("https://www.ejacket.nsf.gov/ej/showProposal.do?ID="&amp;ckCodingTable[[#This Row],[prop_id]],"eJ")</f>
        <v>eJ</v>
      </c>
      <c r="AS91" t="s">
        <v>173</v>
      </c>
      <c r="AT91" t="s">
        <v>2360</v>
      </c>
      <c r="AU91" t="b">
        <f>IF(ckCodingTable[[#This Row],[ILN]]="N",SUBSTITUTE(AT90," ","")&lt;&gt;SUBSTITUTE(ckCodingTable[[#This Row],[prop_titl_txt]]," ",""), FALSE)</f>
        <v>0</v>
      </c>
      <c r="AV91">
        <v>0</v>
      </c>
      <c r="AW91" s="124">
        <v>514477</v>
      </c>
      <c r="AX91" s="124">
        <v>514477</v>
      </c>
      <c r="AY91" s="124"/>
      <c r="AZ91" s="124"/>
      <c r="BA91" s="124"/>
      <c r="BB91" s="124"/>
      <c r="BC91">
        <v>10</v>
      </c>
      <c r="BD91">
        <v>4</v>
      </c>
      <c r="BE91">
        <v>7</v>
      </c>
      <c r="BH91">
        <v>0</v>
      </c>
      <c r="BI91">
        <v>0</v>
      </c>
      <c r="BJ91">
        <v>0</v>
      </c>
      <c r="BK91">
        <v>0</v>
      </c>
      <c r="BL91" t="s">
        <v>2361</v>
      </c>
    </row>
    <row r="92" spans="1:64">
      <c r="A92" s="30"/>
      <c r="B92" s="30">
        <v>42934.507638888892</v>
      </c>
      <c r="C92" t="s">
        <v>242</v>
      </c>
      <c r="D92" t="s">
        <v>741</v>
      </c>
      <c r="E92" t="s">
        <v>528</v>
      </c>
      <c r="F92" t="s">
        <v>172</v>
      </c>
      <c r="G92" t="s">
        <v>170</v>
      </c>
      <c r="H92" s="21" t="s">
        <v>94</v>
      </c>
      <c r="I92" s="86">
        <v>0</v>
      </c>
      <c r="J92" s="86">
        <v>0</v>
      </c>
      <c r="K92" t="s">
        <v>743</v>
      </c>
      <c r="L92" t="s">
        <v>1530</v>
      </c>
      <c r="M92" t="s">
        <v>256</v>
      </c>
      <c r="N92" t="str">
        <f>IF(SUM(ckCodingTable[[#This Row],[NfmlPIs]:[NnonWhtAsnPIs]])&gt;0,"WMD","")</f>
        <v/>
      </c>
      <c r="O92" t="b">
        <f>_xlfn.XOR(IFERROR(MATCH(ckCodingTable[[#This Row],[st_code]],EpscorTable[],0)&gt;0,FALSE),IFERROR(FIND("9150",ckCodingTable[[#This Row],[propPRCs]])&gt;0,FALSE))</f>
        <v>0</v>
      </c>
      <c r="P92" s="21" t="b">
        <f>_xlfn.XOR(ckCodingTable[[#This Row],[wmd]]&lt;&gt;"",IFERROR(FIND("9102",ckCodingTable[[#This Row],[propPRCs]])&gt;0,FALSE))</f>
        <v>0</v>
      </c>
      <c r="Q92" t="s">
        <v>250</v>
      </c>
      <c r="S92" s="108">
        <f>S91+(ckCodingTable[[#This Row],[ILN]]&lt;"M")</f>
        <v>68</v>
      </c>
      <c r="T92" s="21" t="s">
        <v>96</v>
      </c>
      <c r="U92" t="s">
        <v>1540</v>
      </c>
      <c r="V92" s="7" t="str">
        <f>HYPERLINK("https://www.ejacket.nsf.gov/ej/showProposal.do?ID="&amp;ckCodingTable[[#This Row],[prop_id]],"eJ")</f>
        <v>eJ</v>
      </c>
      <c r="W92" t="s">
        <v>742</v>
      </c>
      <c r="X92" t="s">
        <v>1540</v>
      </c>
      <c r="Y92" t="s">
        <v>1541</v>
      </c>
      <c r="Z92" t="s">
        <v>2362</v>
      </c>
      <c r="AA92" t="s">
        <v>2035</v>
      </c>
      <c r="AB92" s="113" t="str">
        <f>HYPERLINK("mailto:"&amp;ckCodingTable[[#This Row],[email]]&amp;"&amp;subject=Your NSF Proposal:  "&amp;ckCodingTable[[#This Row],[Div]]&amp;" "&amp;ckCodingTable[[#This Row],[prop_id]], ckCodingTable[[#This Row],[email]])</f>
        <v>sidford@stanford.edu</v>
      </c>
      <c r="AC92" s="30">
        <v>43009</v>
      </c>
      <c r="AD92">
        <v>60</v>
      </c>
      <c r="AE92">
        <v>1</v>
      </c>
      <c r="AG92" s="122">
        <v>1</v>
      </c>
      <c r="AH92" t="s">
        <v>791</v>
      </c>
      <c r="AI92" s="26">
        <v>7.5</v>
      </c>
      <c r="AJ92" s="22">
        <v>43032.515277777777</v>
      </c>
      <c r="AK92" s="22">
        <v>1</v>
      </c>
      <c r="AL92">
        <v>4</v>
      </c>
      <c r="AN92" s="122">
        <v>4</v>
      </c>
      <c r="AO92" s="122"/>
      <c r="AP92" s="122"/>
      <c r="AQ92" s="122"/>
      <c r="AR92" s="123" t="str">
        <f>HYPERLINK("https://www.ejacket.nsf.gov/ej/showProposal.do?ID="&amp;ckCodingTable[[#This Row],[prop_id]],"eJ")</f>
        <v>eJ</v>
      </c>
      <c r="AS92" t="s">
        <v>173</v>
      </c>
      <c r="AT92" t="s">
        <v>2363</v>
      </c>
      <c r="AU92" t="b">
        <f>IF(ckCodingTable[[#This Row],[ILN]]="N",SUBSTITUTE(AT91," ","")&lt;&gt;SUBSTITUTE(ckCodingTable[[#This Row],[prop_titl_txt]]," ",""), FALSE)</f>
        <v>0</v>
      </c>
      <c r="AV92">
        <v>0</v>
      </c>
      <c r="AW92" s="124">
        <v>500000</v>
      </c>
      <c r="AX92" s="124">
        <v>500000</v>
      </c>
      <c r="AY92" s="124"/>
      <c r="AZ92" s="124"/>
      <c r="BA92" s="124"/>
      <c r="BB92" s="124">
        <v>7500</v>
      </c>
      <c r="BC92">
        <v>5</v>
      </c>
      <c r="BD92">
        <v>5</v>
      </c>
      <c r="BE92">
        <v>6.75</v>
      </c>
      <c r="BH92">
        <v>0</v>
      </c>
      <c r="BI92">
        <v>0</v>
      </c>
      <c r="BJ92">
        <v>0</v>
      </c>
      <c r="BK92">
        <v>0</v>
      </c>
      <c r="BL92" t="s">
        <v>2364</v>
      </c>
    </row>
    <row r="93" spans="1:64">
      <c r="A93" s="30"/>
      <c r="B93" s="30">
        <v>42934.524305555555</v>
      </c>
      <c r="C93" t="s">
        <v>242</v>
      </c>
      <c r="D93" t="s">
        <v>741</v>
      </c>
      <c r="E93" t="s">
        <v>528</v>
      </c>
      <c r="F93" t="s">
        <v>172</v>
      </c>
      <c r="G93" t="s">
        <v>170</v>
      </c>
      <c r="H93" s="21" t="s">
        <v>94</v>
      </c>
      <c r="I93" s="86">
        <v>1</v>
      </c>
      <c r="J93" s="86">
        <v>0</v>
      </c>
      <c r="K93" t="s">
        <v>743</v>
      </c>
      <c r="L93" t="s">
        <v>543</v>
      </c>
      <c r="M93" t="s">
        <v>258</v>
      </c>
      <c r="N93" t="str">
        <f>IF(SUM(ckCodingTable[[#This Row],[NfmlPIs]:[NnonWhtAsnPIs]])&gt;0,"WMD","")</f>
        <v/>
      </c>
      <c r="O93" t="b">
        <f>_xlfn.XOR(IFERROR(MATCH(ckCodingTable[[#This Row],[st_code]],EpscorTable[],0)&gt;0,FALSE),IFERROR(FIND("9150",ckCodingTable[[#This Row],[propPRCs]])&gt;0,FALSE))</f>
        <v>0</v>
      </c>
      <c r="P93" s="21" t="b">
        <f>_xlfn.XOR(ckCodingTable[[#This Row],[wmd]]&lt;&gt;"",IFERROR(FIND("9102",ckCodingTable[[#This Row],[propPRCs]])&gt;0,FALSE))</f>
        <v>0</v>
      </c>
      <c r="Q93" t="s">
        <v>2365</v>
      </c>
      <c r="S93" s="108">
        <f>S92+(ckCodingTable[[#This Row],[ILN]]&lt;"M")</f>
        <v>69</v>
      </c>
      <c r="T93" s="21" t="s">
        <v>96</v>
      </c>
      <c r="U93" t="s">
        <v>1547</v>
      </c>
      <c r="V93" s="7" t="str">
        <f>HYPERLINK("https://www.ejacket.nsf.gov/ej/showProposal.do?ID="&amp;ckCodingTable[[#This Row],[prop_id]],"eJ")</f>
        <v>eJ</v>
      </c>
      <c r="W93" t="s">
        <v>742</v>
      </c>
      <c r="X93" t="s">
        <v>1547</v>
      </c>
      <c r="Y93" t="s">
        <v>1548</v>
      </c>
      <c r="Z93" t="s">
        <v>2366</v>
      </c>
      <c r="AA93" t="s">
        <v>2101</v>
      </c>
      <c r="AB93" s="113" t="str">
        <f>HYPERLINK("mailto:"&amp;ckCodingTable[[#This Row],[email]]&amp;"&amp;subject=Your NSF Proposal:  "&amp;ckCodingTable[[#This Row],[Div]]&amp;" "&amp;ckCodingTable[[#This Row],[prop_id]], ckCodingTable[[#This Row],[email]])</f>
        <v>omri@cs.columbia.edu</v>
      </c>
      <c r="AC93" s="30">
        <v>42979</v>
      </c>
      <c r="AD93">
        <v>60</v>
      </c>
      <c r="AE93">
        <v>1</v>
      </c>
      <c r="AG93" s="122">
        <v>1</v>
      </c>
      <c r="AH93" t="s">
        <v>2367</v>
      </c>
      <c r="AI93" s="26">
        <v>7</v>
      </c>
      <c r="AJ93" s="22">
        <v>43059.920138888891</v>
      </c>
      <c r="AL93">
        <v>4</v>
      </c>
      <c r="AN93" s="122">
        <v>4</v>
      </c>
      <c r="AO93" s="122"/>
      <c r="AP93" s="122"/>
      <c r="AQ93" s="122"/>
      <c r="AR93" s="123" t="str">
        <f>HYPERLINK("https://www.ejacket.nsf.gov/ej/showProposal.do?ID="&amp;ckCodingTable[[#This Row],[prop_id]],"eJ")</f>
        <v>eJ</v>
      </c>
      <c r="AS93" t="s">
        <v>173</v>
      </c>
      <c r="AT93" t="s">
        <v>2368</v>
      </c>
      <c r="AU93" t="b">
        <f>IF(ckCodingTable[[#This Row],[ILN]]="N",SUBSTITUTE(AT92," ","")&lt;&gt;SUBSTITUTE(ckCodingTable[[#This Row],[prop_titl_txt]]," ",""), FALSE)</f>
        <v>0</v>
      </c>
      <c r="AV93">
        <v>0</v>
      </c>
      <c r="AW93" s="124">
        <v>400000</v>
      </c>
      <c r="AX93" s="124">
        <v>400000</v>
      </c>
      <c r="AY93" s="124"/>
      <c r="AZ93" s="124"/>
      <c r="BA93" s="124"/>
      <c r="BB93" s="124"/>
      <c r="BC93">
        <v>3</v>
      </c>
      <c r="BD93">
        <v>5</v>
      </c>
      <c r="BE93">
        <v>1</v>
      </c>
      <c r="BG93">
        <v>3.5</v>
      </c>
      <c r="BH93">
        <v>0</v>
      </c>
      <c r="BI93">
        <v>0</v>
      </c>
      <c r="BJ93">
        <v>0</v>
      </c>
      <c r="BK93">
        <v>0</v>
      </c>
      <c r="BL93" t="s">
        <v>2369</v>
      </c>
    </row>
    <row r="94" spans="1:64">
      <c r="A94" s="30"/>
      <c r="B94" s="30">
        <v>42934.524305555555</v>
      </c>
      <c r="C94" t="s">
        <v>242</v>
      </c>
      <c r="D94" t="s">
        <v>741</v>
      </c>
      <c r="E94" t="s">
        <v>528</v>
      </c>
      <c r="F94" t="s">
        <v>172</v>
      </c>
      <c r="G94" t="s">
        <v>170</v>
      </c>
      <c r="H94" s="21" t="s">
        <v>94</v>
      </c>
      <c r="I94" s="86">
        <v>1</v>
      </c>
      <c r="J94" s="86">
        <v>0</v>
      </c>
      <c r="K94" t="s">
        <v>743</v>
      </c>
      <c r="L94" t="s">
        <v>543</v>
      </c>
      <c r="M94" t="s">
        <v>340</v>
      </c>
      <c r="N94" t="str">
        <f>IF(SUM(ckCodingTable[[#This Row],[NfmlPIs]:[NnonWhtAsnPIs]])&gt;0,"WMD","")</f>
        <v/>
      </c>
      <c r="O94" t="b">
        <f>_xlfn.XOR(IFERROR(MATCH(ckCodingTable[[#This Row],[st_code]],EpscorTable[],0)&gt;0,FALSE),IFERROR(FIND("9150",ckCodingTable[[#This Row],[propPRCs]])&gt;0,FALSE))</f>
        <v>0</v>
      </c>
      <c r="P94" s="21" t="b">
        <f>_xlfn.XOR(ckCodingTable[[#This Row],[wmd]]&lt;&gt;"",IFERROR(FIND("9102",ckCodingTable[[#This Row],[propPRCs]])&gt;0,FALSE))</f>
        <v>0</v>
      </c>
      <c r="Q94" t="s">
        <v>744</v>
      </c>
      <c r="S94" s="108">
        <f>S93+(ckCodingTable[[#This Row],[ILN]]&lt;"M")</f>
        <v>70</v>
      </c>
      <c r="T94" s="21" t="s">
        <v>96</v>
      </c>
      <c r="U94" t="s">
        <v>603</v>
      </c>
      <c r="V94" s="7" t="str">
        <f>HYPERLINK("https://www.ejacket.nsf.gov/ej/showProposal.do?ID="&amp;ckCodingTable[[#This Row],[prop_id]],"eJ")</f>
        <v>eJ</v>
      </c>
      <c r="W94" t="s">
        <v>742</v>
      </c>
      <c r="X94" t="s">
        <v>603</v>
      </c>
      <c r="Y94" t="s">
        <v>604</v>
      </c>
      <c r="Z94" t="s">
        <v>765</v>
      </c>
      <c r="AA94" t="s">
        <v>339</v>
      </c>
      <c r="AB94" s="113" t="str">
        <f>HYPERLINK("mailto:"&amp;ckCodingTable[[#This Row],[email]]&amp;"&amp;subject=Your NSF Proposal:  "&amp;ckCodingTable[[#This Row],[Div]]&amp;" "&amp;ckCodingTable[[#This Row],[prop_id]], ckCodingTable[[#This Row],[email]])</f>
        <v>karthe@illinois.edu</v>
      </c>
      <c r="AC94" s="30">
        <v>43115</v>
      </c>
      <c r="AD94">
        <v>60</v>
      </c>
      <c r="AE94">
        <v>1</v>
      </c>
      <c r="AG94" s="122">
        <v>1</v>
      </c>
      <c r="AH94" t="s">
        <v>766</v>
      </c>
      <c r="AI94" s="26">
        <v>6.75</v>
      </c>
      <c r="AJ94" s="22">
        <v>43030.722916666666</v>
      </c>
      <c r="AK94" s="22">
        <v>2</v>
      </c>
      <c r="AL94">
        <v>4</v>
      </c>
      <c r="AN94" s="122">
        <v>4</v>
      </c>
      <c r="AO94" s="122"/>
      <c r="AP94" s="122"/>
      <c r="AQ94" s="122"/>
      <c r="AR94" s="123" t="str">
        <f>HYPERLINK("https://www.ejacket.nsf.gov/ej/showProposal.do?ID="&amp;ckCodingTable[[#This Row],[prop_id]],"eJ")</f>
        <v>eJ</v>
      </c>
      <c r="AS94" t="s">
        <v>173</v>
      </c>
      <c r="AT94" t="s">
        <v>767</v>
      </c>
      <c r="AU94" t="b">
        <f>IF(ckCodingTable[[#This Row],[ILN]]="N",SUBSTITUTE(AT93," ","")&lt;&gt;SUBSTITUTE(ckCodingTable[[#This Row],[prop_titl_txt]]," ",""), FALSE)</f>
        <v>0</v>
      </c>
      <c r="AV94">
        <v>0</v>
      </c>
      <c r="AW94" s="124">
        <v>446040</v>
      </c>
      <c r="AX94" s="124">
        <v>446040</v>
      </c>
      <c r="AY94" s="124"/>
      <c r="AZ94" s="124">
        <v>20000</v>
      </c>
      <c r="BA94" s="124"/>
      <c r="BB94" s="124"/>
      <c r="BC94">
        <v>5</v>
      </c>
      <c r="BD94">
        <v>5</v>
      </c>
      <c r="BE94">
        <v>5</v>
      </c>
      <c r="BH94">
        <v>0</v>
      </c>
      <c r="BI94">
        <v>0</v>
      </c>
      <c r="BJ94">
        <v>0</v>
      </c>
      <c r="BK94">
        <v>0</v>
      </c>
      <c r="BL94" t="s">
        <v>768</v>
      </c>
    </row>
    <row r="95" spans="1:64">
      <c r="A95" s="30"/>
      <c r="B95" s="30">
        <v>42934.625694444447</v>
      </c>
      <c r="C95" t="s">
        <v>242</v>
      </c>
      <c r="D95" t="s">
        <v>741</v>
      </c>
      <c r="E95" t="s">
        <v>528</v>
      </c>
      <c r="F95" t="s">
        <v>172</v>
      </c>
      <c r="G95" t="s">
        <v>170</v>
      </c>
      <c r="H95" s="21" t="s">
        <v>94</v>
      </c>
      <c r="I95" s="86">
        <v>1</v>
      </c>
      <c r="J95" s="86">
        <v>0</v>
      </c>
      <c r="K95" t="s">
        <v>743</v>
      </c>
      <c r="L95" t="s">
        <v>540</v>
      </c>
      <c r="M95" t="s">
        <v>258</v>
      </c>
      <c r="N95" t="str">
        <f>IF(SUM(ckCodingTable[[#This Row],[NfmlPIs]:[NnonWhtAsnPIs]])&gt;0,"WMD","")</f>
        <v/>
      </c>
      <c r="O95" t="b">
        <f>_xlfn.XOR(IFERROR(MATCH(ckCodingTable[[#This Row],[st_code]],EpscorTable[],0)&gt;0,FALSE),IFERROR(FIND("9150",ckCodingTable[[#This Row],[propPRCs]])&gt;0,FALSE))</f>
        <v>0</v>
      </c>
      <c r="P95" s="21" t="b">
        <f>_xlfn.XOR(ckCodingTable[[#This Row],[wmd]]&lt;&gt;"",IFERROR(FIND("9102",ckCodingTable[[#This Row],[propPRCs]])&gt;0,FALSE))</f>
        <v>0</v>
      </c>
      <c r="Q95" t="s">
        <v>744</v>
      </c>
      <c r="S95" s="108">
        <f>S94+(ckCodingTable[[#This Row],[ILN]]&lt;"M")</f>
        <v>71</v>
      </c>
      <c r="T95" s="21" t="s">
        <v>96</v>
      </c>
      <c r="U95" t="s">
        <v>617</v>
      </c>
      <c r="V95" s="7" t="str">
        <f>HYPERLINK("https://www.ejacket.nsf.gov/ej/showProposal.do?ID="&amp;ckCodingTable[[#This Row],[prop_id]],"eJ")</f>
        <v>eJ</v>
      </c>
      <c r="W95" t="s">
        <v>742</v>
      </c>
      <c r="X95" t="s">
        <v>617</v>
      </c>
      <c r="Y95" t="s">
        <v>618</v>
      </c>
      <c r="Z95" t="s">
        <v>769</v>
      </c>
      <c r="AA95" t="s">
        <v>770</v>
      </c>
      <c r="AB95" s="113" t="str">
        <f>HYPERLINK("mailto:"&amp;ckCodingTable[[#This Row],[email]]&amp;"&amp;subject=Your NSF Proposal:  "&amp;ckCodingTable[[#This Row],[Div]]&amp;" "&amp;ckCodingTable[[#This Row],[prop_id]], ckCodingTable[[#This Row],[email]])</f>
        <v>francesco@cs.stonybrook.edu</v>
      </c>
      <c r="AC95" s="30">
        <v>43101</v>
      </c>
      <c r="AD95">
        <v>60</v>
      </c>
      <c r="AE95">
        <v>1</v>
      </c>
      <c r="AG95" s="122">
        <v>1</v>
      </c>
      <c r="AH95" t="s">
        <v>771</v>
      </c>
      <c r="AI95" s="26">
        <v>8</v>
      </c>
      <c r="AJ95" s="22">
        <v>43059.663888888892</v>
      </c>
      <c r="AL95">
        <v>4</v>
      </c>
      <c r="AN95" s="122">
        <v>4</v>
      </c>
      <c r="AO95" s="122"/>
      <c r="AP95" s="122"/>
      <c r="AQ95" s="122"/>
      <c r="AR95" s="123" t="str">
        <f>HYPERLINK("https://www.ejacket.nsf.gov/ej/showProposal.do?ID="&amp;ckCodingTable[[#This Row],[prop_id]],"eJ")</f>
        <v>eJ</v>
      </c>
      <c r="AS95" t="s">
        <v>173</v>
      </c>
      <c r="AT95" t="s">
        <v>772</v>
      </c>
      <c r="AU95" t="b">
        <f>IF(ckCodingTable[[#This Row],[ILN]]="N",SUBSTITUTE(AT94," ","")&lt;&gt;SUBSTITUTE(ckCodingTable[[#This Row],[prop_titl_txt]]," ",""), FALSE)</f>
        <v>0</v>
      </c>
      <c r="AV95">
        <v>0</v>
      </c>
      <c r="AW95" s="124">
        <v>516750</v>
      </c>
      <c r="AX95" s="124">
        <v>516750</v>
      </c>
      <c r="AY95" s="124"/>
      <c r="AZ95" s="124">
        <v>10000</v>
      </c>
      <c r="BA95" s="124"/>
      <c r="BB95" s="124"/>
      <c r="BC95">
        <v>9</v>
      </c>
      <c r="BD95">
        <v>5</v>
      </c>
      <c r="BE95">
        <v>5</v>
      </c>
      <c r="BH95">
        <v>0</v>
      </c>
      <c r="BI95">
        <v>0</v>
      </c>
      <c r="BJ95">
        <v>0</v>
      </c>
      <c r="BK95">
        <v>0</v>
      </c>
      <c r="BL95" t="s">
        <v>773</v>
      </c>
    </row>
    <row r="96" spans="1:64">
      <c r="A96" s="30"/>
      <c r="B96" s="30">
        <v>42934.695138888892</v>
      </c>
      <c r="C96" t="s">
        <v>242</v>
      </c>
      <c r="D96" t="s">
        <v>741</v>
      </c>
      <c r="E96" t="s">
        <v>528</v>
      </c>
      <c r="F96" t="s">
        <v>172</v>
      </c>
      <c r="G96" t="s">
        <v>170</v>
      </c>
      <c r="H96" s="21" t="s">
        <v>94</v>
      </c>
      <c r="I96" s="86">
        <v>1</v>
      </c>
      <c r="J96" s="86">
        <v>0</v>
      </c>
      <c r="K96" t="s">
        <v>743</v>
      </c>
      <c r="L96" t="s">
        <v>540</v>
      </c>
      <c r="M96" t="s">
        <v>257</v>
      </c>
      <c r="N96" t="str">
        <f>IF(SUM(ckCodingTable[[#This Row],[NfmlPIs]:[NnonWhtAsnPIs]])&gt;0,"WMD","")</f>
        <v/>
      </c>
      <c r="O96" t="b">
        <f>_xlfn.XOR(IFERROR(MATCH(ckCodingTable[[#This Row],[st_code]],EpscorTable[],0)&gt;0,FALSE),IFERROR(FIND("9150",ckCodingTable[[#This Row],[propPRCs]])&gt;0,FALSE))</f>
        <v>0</v>
      </c>
      <c r="P96" s="21" t="b">
        <f>_xlfn.XOR(ckCodingTable[[#This Row],[wmd]]&lt;&gt;"",IFERROR(FIND("9102",ckCodingTable[[#This Row],[propPRCs]])&gt;0,FALSE))</f>
        <v>0</v>
      </c>
      <c r="Q96" t="s">
        <v>751</v>
      </c>
      <c r="S96" s="108">
        <f>S95+(ckCodingTable[[#This Row],[ILN]]&lt;"M")</f>
        <v>72</v>
      </c>
      <c r="T96" s="21" t="s">
        <v>96</v>
      </c>
      <c r="U96" t="s">
        <v>639</v>
      </c>
      <c r="V96" s="7" t="str">
        <f>HYPERLINK("https://www.ejacket.nsf.gov/ej/showProposal.do?ID="&amp;ckCodingTable[[#This Row],[prop_id]],"eJ")</f>
        <v>eJ</v>
      </c>
      <c r="W96" t="s">
        <v>742</v>
      </c>
      <c r="X96" t="s">
        <v>639</v>
      </c>
      <c r="Y96" t="s">
        <v>640</v>
      </c>
      <c r="Z96" t="s">
        <v>774</v>
      </c>
      <c r="AA96" t="s">
        <v>775</v>
      </c>
      <c r="AB96" s="113" t="str">
        <f>HYPERLINK("mailto:"&amp;ckCodingTable[[#This Row],[email]]&amp;"&amp;subject=Your NSF Proposal:  "&amp;ckCodingTable[[#This Row],[Div]]&amp;" "&amp;ckCodingTable[[#This Row],[prop_id]], ckCodingTable[[#This Row],[email]])</f>
        <v>jsolomon@mit.edu</v>
      </c>
      <c r="AC96" s="30">
        <v>43101</v>
      </c>
      <c r="AD96">
        <v>60</v>
      </c>
      <c r="AE96">
        <v>1</v>
      </c>
      <c r="AG96" s="122">
        <v>1</v>
      </c>
      <c r="AH96" t="s">
        <v>776</v>
      </c>
      <c r="AI96" s="26">
        <v>6.25</v>
      </c>
      <c r="AJ96" s="22">
        <v>43030.972222222219</v>
      </c>
      <c r="AK96" s="22">
        <v>2</v>
      </c>
      <c r="AL96">
        <v>4</v>
      </c>
      <c r="AN96" s="122">
        <v>4</v>
      </c>
      <c r="AO96" s="122"/>
      <c r="AP96" s="122"/>
      <c r="AQ96" s="122"/>
      <c r="AR96" s="123" t="str">
        <f>HYPERLINK("https://www.ejacket.nsf.gov/ej/showProposal.do?ID="&amp;ckCodingTable[[#This Row],[prop_id]],"eJ")</f>
        <v>eJ</v>
      </c>
      <c r="AS96" t="s">
        <v>173</v>
      </c>
      <c r="AT96" t="s">
        <v>777</v>
      </c>
      <c r="AU96" t="b">
        <f>IF(ckCodingTable[[#This Row],[ILN]]="N",SUBSTITUTE(AT95," ","")&lt;&gt;SUBSTITUTE(ckCodingTable[[#This Row],[prop_titl_txt]]," ",""), FALSE)</f>
        <v>0</v>
      </c>
      <c r="AV96">
        <v>0</v>
      </c>
      <c r="AW96" s="124">
        <v>550000</v>
      </c>
      <c r="AX96" s="124">
        <v>550000</v>
      </c>
      <c r="AY96" s="124"/>
      <c r="AZ96" s="124"/>
      <c r="BA96" s="124"/>
      <c r="BB96" s="124"/>
      <c r="BC96">
        <v>5</v>
      </c>
      <c r="BD96">
        <v>5</v>
      </c>
      <c r="BE96">
        <v>2.5</v>
      </c>
      <c r="BH96">
        <v>0</v>
      </c>
      <c r="BI96">
        <v>0</v>
      </c>
      <c r="BJ96">
        <v>0</v>
      </c>
      <c r="BK96">
        <v>0</v>
      </c>
      <c r="BL96" t="s">
        <v>778</v>
      </c>
    </row>
    <row r="97" spans="1:64">
      <c r="A97" s="30"/>
      <c r="B97" s="30">
        <v>42934.734722222223</v>
      </c>
      <c r="C97" t="s">
        <v>242</v>
      </c>
      <c r="D97" t="s">
        <v>741</v>
      </c>
      <c r="E97" t="s">
        <v>528</v>
      </c>
      <c r="F97" t="s">
        <v>172</v>
      </c>
      <c r="G97" t="s">
        <v>170</v>
      </c>
      <c r="H97" s="21" t="s">
        <v>94</v>
      </c>
      <c r="I97" s="86">
        <v>1</v>
      </c>
      <c r="J97" s="86">
        <v>0</v>
      </c>
      <c r="K97" t="s">
        <v>743</v>
      </c>
      <c r="L97" t="s">
        <v>543</v>
      </c>
      <c r="M97" t="s">
        <v>2001</v>
      </c>
      <c r="N97" t="str">
        <f>IF(SUM(ckCodingTable[[#This Row],[NfmlPIs]:[NnonWhtAsnPIs]])&gt;0,"WMD","")</f>
        <v/>
      </c>
      <c r="O97" t="b">
        <f>_xlfn.XOR(IFERROR(MATCH(ckCodingTable[[#This Row],[st_code]],EpscorTable[],0)&gt;0,FALSE),IFERROR(FIND("9150",ckCodingTable[[#This Row],[propPRCs]])&gt;0,FALSE))</f>
        <v>0</v>
      </c>
      <c r="P97" s="21" t="b">
        <f>_xlfn.XOR(ckCodingTable[[#This Row],[wmd]]&lt;&gt;"",IFERROR(FIND("9102",ckCodingTable[[#This Row],[propPRCs]])&gt;0,FALSE))</f>
        <v>0</v>
      </c>
      <c r="Q97" t="s">
        <v>2365</v>
      </c>
      <c r="S97" s="108">
        <f>S96+(ckCodingTable[[#This Row],[ILN]]&lt;"M")</f>
        <v>73</v>
      </c>
      <c r="T97" s="21" t="s">
        <v>96</v>
      </c>
      <c r="U97" t="s">
        <v>1560</v>
      </c>
      <c r="V97" s="7" t="str">
        <f>HYPERLINK("https://www.ejacket.nsf.gov/ej/showProposal.do?ID="&amp;ckCodingTable[[#This Row],[prop_id]],"eJ")</f>
        <v>eJ</v>
      </c>
      <c r="W97" t="s">
        <v>742</v>
      </c>
      <c r="X97" t="s">
        <v>1560</v>
      </c>
      <c r="Y97" t="s">
        <v>1561</v>
      </c>
      <c r="Z97" t="s">
        <v>774</v>
      </c>
      <c r="AA97" t="s">
        <v>2003</v>
      </c>
      <c r="AB97" s="113" t="str">
        <f>HYPERLINK("mailto:"&amp;ckCodingTable[[#This Row],[email]]&amp;"&amp;subject=Your NSF Proposal:  "&amp;ckCodingTable[[#This Row],[Div]]&amp;" "&amp;ckCodingTable[[#This Row],[prop_id]], ckCodingTable[[#This Row],[email]])</f>
        <v>jt1157@georgetown.edu</v>
      </c>
      <c r="AC97" s="30">
        <v>43252</v>
      </c>
      <c r="AD97">
        <v>60</v>
      </c>
      <c r="AE97">
        <v>1</v>
      </c>
      <c r="AG97" s="122">
        <v>1</v>
      </c>
      <c r="AH97" t="s">
        <v>805</v>
      </c>
      <c r="AI97" s="26">
        <v>6.75</v>
      </c>
      <c r="AJ97" s="22">
        <v>43059.936805555553</v>
      </c>
      <c r="AL97">
        <v>4</v>
      </c>
      <c r="AN97" s="122">
        <v>4</v>
      </c>
      <c r="AO97" s="122"/>
      <c r="AP97" s="122"/>
      <c r="AQ97" s="122"/>
      <c r="AR97" s="123" t="str">
        <f>HYPERLINK("https://www.ejacket.nsf.gov/ej/showProposal.do?ID="&amp;ckCodingTable[[#This Row],[prop_id]],"eJ")</f>
        <v>eJ</v>
      </c>
      <c r="AS97" t="s">
        <v>173</v>
      </c>
      <c r="AT97" t="s">
        <v>2370</v>
      </c>
      <c r="AU97" t="b">
        <f>IF(ckCodingTable[[#This Row],[ILN]]="N",SUBSTITUTE(AT96," ","")&lt;&gt;SUBSTITUTE(ckCodingTable[[#This Row],[prop_titl_txt]]," ",""), FALSE)</f>
        <v>0</v>
      </c>
      <c r="AV97">
        <v>0</v>
      </c>
      <c r="AW97" s="124">
        <v>525636</v>
      </c>
      <c r="AX97" s="124">
        <v>525636</v>
      </c>
      <c r="AY97" s="124"/>
      <c r="AZ97" s="124">
        <v>12500</v>
      </c>
      <c r="BA97" s="124"/>
      <c r="BB97" s="124"/>
      <c r="BC97">
        <v>4</v>
      </c>
      <c r="BD97">
        <v>5</v>
      </c>
      <c r="BE97">
        <v>7</v>
      </c>
      <c r="BH97">
        <v>0</v>
      </c>
      <c r="BI97">
        <v>0</v>
      </c>
      <c r="BJ97">
        <v>0</v>
      </c>
      <c r="BK97">
        <v>0</v>
      </c>
      <c r="BL97" t="s">
        <v>2371</v>
      </c>
    </row>
    <row r="98" spans="1:64">
      <c r="A98" s="30"/>
      <c r="B98" s="30">
        <v>42934.737500000003</v>
      </c>
      <c r="C98" t="s">
        <v>242</v>
      </c>
      <c r="D98" t="s">
        <v>741</v>
      </c>
      <c r="E98" t="s">
        <v>528</v>
      </c>
      <c r="F98" t="s">
        <v>172</v>
      </c>
      <c r="G98" t="s">
        <v>170</v>
      </c>
      <c r="H98" s="21" t="s">
        <v>94</v>
      </c>
      <c r="I98" s="86">
        <v>1</v>
      </c>
      <c r="J98" s="86">
        <v>0</v>
      </c>
      <c r="K98" t="s">
        <v>743</v>
      </c>
      <c r="L98" t="s">
        <v>543</v>
      </c>
      <c r="M98" t="s">
        <v>340</v>
      </c>
      <c r="N98" t="str">
        <f>IF(SUM(ckCodingTable[[#This Row],[NfmlPIs]:[NnonWhtAsnPIs]])&gt;0,"WMD","")</f>
        <v/>
      </c>
      <c r="O98" t="b">
        <f>_xlfn.XOR(IFERROR(MATCH(ckCodingTable[[#This Row],[st_code]],EpscorTable[],0)&gt;0,FALSE),IFERROR(FIND("9150",ckCodingTable[[#This Row],[propPRCs]])&gt;0,FALSE))</f>
        <v>0</v>
      </c>
      <c r="P98" s="21" t="b">
        <f>_xlfn.XOR(ckCodingTable[[#This Row],[wmd]]&lt;&gt;"",IFERROR(FIND("9102",ckCodingTable[[#This Row],[propPRCs]])&gt;0,FALSE))</f>
        <v>0</v>
      </c>
      <c r="Q98" t="s">
        <v>779</v>
      </c>
      <c r="S98" s="108">
        <f>S97+(ckCodingTable[[#This Row],[ILN]]&lt;"M")</f>
        <v>74</v>
      </c>
      <c r="T98" s="21" t="s">
        <v>96</v>
      </c>
      <c r="U98" t="s">
        <v>647</v>
      </c>
      <c r="V98" s="7" t="str">
        <f>HYPERLINK("https://www.ejacket.nsf.gov/ej/showProposal.do?ID="&amp;ckCodingTable[[#This Row],[prop_id]],"eJ")</f>
        <v>eJ</v>
      </c>
      <c r="W98" t="s">
        <v>742</v>
      </c>
      <c r="X98" t="s">
        <v>647</v>
      </c>
      <c r="Y98" t="s">
        <v>648</v>
      </c>
      <c r="Z98" t="s">
        <v>780</v>
      </c>
      <c r="AA98" t="s">
        <v>339</v>
      </c>
      <c r="AB98" s="113" t="str">
        <f>HYPERLINK("mailto:"&amp;ckCodingTable[[#This Row],[email]]&amp;"&amp;subject=Your NSF Proposal:  "&amp;ckCodingTable[[#This Row],[Div]]&amp;" "&amp;ckCodingTable[[#This Row],[prop_id]], ckCodingTable[[#This Row],[email]])</f>
        <v>solomon2@illinois.edu</v>
      </c>
      <c r="AC98" s="30">
        <v>43132</v>
      </c>
      <c r="AD98">
        <v>60</v>
      </c>
      <c r="AE98">
        <v>1</v>
      </c>
      <c r="AG98" s="122">
        <v>1</v>
      </c>
      <c r="AH98" t="s">
        <v>781</v>
      </c>
      <c r="AI98" s="26">
        <v>4.5</v>
      </c>
      <c r="AJ98" s="22">
        <v>43031.922222222223</v>
      </c>
      <c r="AK98" s="22">
        <v>2</v>
      </c>
      <c r="AL98">
        <v>4</v>
      </c>
      <c r="AN98" s="122">
        <v>4</v>
      </c>
      <c r="AO98" s="122"/>
      <c r="AP98" s="122"/>
      <c r="AQ98" s="122"/>
      <c r="AR98" s="123" t="str">
        <f>HYPERLINK("https://www.ejacket.nsf.gov/ej/showProposal.do?ID="&amp;ckCodingTable[[#This Row],[prop_id]],"eJ")</f>
        <v>eJ</v>
      </c>
      <c r="AS98" t="s">
        <v>173</v>
      </c>
      <c r="AT98" t="s">
        <v>782</v>
      </c>
      <c r="AU98" t="b">
        <f>IF(ckCodingTable[[#This Row],[ILN]]="N",SUBSTITUTE(AT97," ","")&lt;&gt;SUBSTITUTE(ckCodingTable[[#This Row],[prop_titl_txt]]," ",""), FALSE)</f>
        <v>0</v>
      </c>
      <c r="AV98">
        <v>0</v>
      </c>
      <c r="AW98" s="124">
        <v>524117</v>
      </c>
      <c r="AX98" s="124">
        <v>524117</v>
      </c>
      <c r="AY98" s="124"/>
      <c r="AZ98" s="124">
        <v>11250</v>
      </c>
      <c r="BA98" s="124"/>
      <c r="BB98" s="124"/>
      <c r="BC98">
        <v>5</v>
      </c>
      <c r="BD98">
        <v>5</v>
      </c>
      <c r="BE98">
        <v>2.5</v>
      </c>
      <c r="BH98">
        <v>0</v>
      </c>
      <c r="BI98">
        <v>0</v>
      </c>
      <c r="BJ98">
        <v>0</v>
      </c>
      <c r="BK98">
        <v>0</v>
      </c>
      <c r="BL98" t="s">
        <v>783</v>
      </c>
    </row>
    <row r="99" spans="1:64">
      <c r="A99" s="30"/>
      <c r="B99" s="30">
        <v>42934.806944444441</v>
      </c>
      <c r="C99" t="s">
        <v>242</v>
      </c>
      <c r="D99" t="s">
        <v>741</v>
      </c>
      <c r="E99" t="s">
        <v>528</v>
      </c>
      <c r="F99" t="s">
        <v>172</v>
      </c>
      <c r="G99" t="s">
        <v>170</v>
      </c>
      <c r="H99" s="21" t="s">
        <v>94</v>
      </c>
      <c r="I99" s="86">
        <v>1</v>
      </c>
      <c r="J99" s="86">
        <v>0</v>
      </c>
      <c r="K99" t="s">
        <v>743</v>
      </c>
      <c r="L99" t="s">
        <v>1530</v>
      </c>
      <c r="M99" t="s">
        <v>256</v>
      </c>
      <c r="N99" t="str">
        <f>IF(SUM(ckCodingTable[[#This Row],[NfmlPIs]:[NnonWhtAsnPIs]])&gt;0,"WMD","")</f>
        <v/>
      </c>
      <c r="O99" t="b">
        <f>_xlfn.XOR(IFERROR(MATCH(ckCodingTable[[#This Row],[st_code]],EpscorTable[],0)&gt;0,FALSE),IFERROR(FIND("9150",ckCodingTable[[#This Row],[propPRCs]])&gt;0,FALSE))</f>
        <v>0</v>
      </c>
      <c r="P99" s="21" t="b">
        <f>_xlfn.XOR(ckCodingTable[[#This Row],[wmd]]&lt;&gt;"",IFERROR(FIND("9102",ckCodingTable[[#This Row],[propPRCs]])&gt;0,FALSE))</f>
        <v>0</v>
      </c>
      <c r="Q99" t="s">
        <v>744</v>
      </c>
      <c r="S99" s="108">
        <f>S98+(ckCodingTable[[#This Row],[ILN]]&lt;"M")</f>
        <v>75</v>
      </c>
      <c r="T99" s="21" t="s">
        <v>96</v>
      </c>
      <c r="U99" t="s">
        <v>1571</v>
      </c>
      <c r="V99" s="7" t="str">
        <f>HYPERLINK("https://www.ejacket.nsf.gov/ej/showProposal.do?ID="&amp;ckCodingTable[[#This Row],[prop_id]],"eJ")</f>
        <v>eJ</v>
      </c>
      <c r="W99" t="s">
        <v>742</v>
      </c>
      <c r="X99" t="s">
        <v>1571</v>
      </c>
      <c r="Y99" t="s">
        <v>1572</v>
      </c>
      <c r="Z99" t="s">
        <v>2372</v>
      </c>
      <c r="AA99" t="s">
        <v>2373</v>
      </c>
      <c r="AB99" s="113" t="str">
        <f>HYPERLINK("mailto:"&amp;ckCodingTable[[#This Row],[email]]&amp;"&amp;subject=Your NSF Proposal:  "&amp;ckCodingTable[[#This Row],[Div]]&amp;" "&amp;ckCodingTable[[#This Row],[prop_id]], ckCodingTable[[#This Row],[email]])</f>
        <v>razaviya@usc.edu</v>
      </c>
      <c r="AC99" s="30">
        <v>43236</v>
      </c>
      <c r="AD99">
        <v>60</v>
      </c>
      <c r="AE99">
        <v>2</v>
      </c>
      <c r="AG99" s="122">
        <v>1</v>
      </c>
      <c r="AH99" t="s">
        <v>2374</v>
      </c>
      <c r="AI99" s="26">
        <v>4.666666666666667</v>
      </c>
      <c r="AJ99" s="22">
        <v>43059.886111111111</v>
      </c>
      <c r="AL99">
        <v>9</v>
      </c>
      <c r="AN99" s="122">
        <v>5</v>
      </c>
      <c r="AO99" s="122"/>
      <c r="AP99" s="122"/>
      <c r="AQ99" s="122"/>
      <c r="AR99" s="123" t="str">
        <f>HYPERLINK("https://www.ejacket.nsf.gov/ej/showProposal.do?ID="&amp;ckCodingTable[[#This Row],[prop_id]],"eJ")</f>
        <v>eJ</v>
      </c>
      <c r="AS99" t="s">
        <v>173</v>
      </c>
      <c r="AT99" t="s">
        <v>2375</v>
      </c>
      <c r="AU99" t="b">
        <f>IF(ckCodingTable[[#This Row],[ILN]]="N",SUBSTITUTE(AT98," ","")&lt;&gt;SUBSTITUTE(ckCodingTable[[#This Row],[prop_titl_txt]]," ",""), FALSE)</f>
        <v>0</v>
      </c>
      <c r="AV99">
        <v>0</v>
      </c>
      <c r="AW99" s="124">
        <v>539673</v>
      </c>
      <c r="AX99" s="124">
        <v>539673</v>
      </c>
      <c r="AY99" s="124"/>
      <c r="AZ99" s="124"/>
      <c r="BA99" s="124"/>
      <c r="BB99" s="124">
        <v>13000</v>
      </c>
      <c r="BC99">
        <v>5</v>
      </c>
      <c r="BD99">
        <v>5</v>
      </c>
      <c r="BE99">
        <v>5</v>
      </c>
      <c r="BH99">
        <v>0</v>
      </c>
      <c r="BI99">
        <v>0</v>
      </c>
      <c r="BJ99">
        <v>0</v>
      </c>
      <c r="BK99">
        <v>0</v>
      </c>
      <c r="BL99" t="s">
        <v>2376</v>
      </c>
    </row>
    <row r="100" spans="1:64">
      <c r="A100" s="30"/>
      <c r="B100" s="30">
        <v>42934.808333333334</v>
      </c>
      <c r="C100" t="s">
        <v>242</v>
      </c>
      <c r="D100" t="s">
        <v>741</v>
      </c>
      <c r="E100" t="s">
        <v>528</v>
      </c>
      <c r="F100" t="s">
        <v>172</v>
      </c>
      <c r="G100" t="s">
        <v>170</v>
      </c>
      <c r="H100" s="21" t="s">
        <v>94</v>
      </c>
      <c r="I100" s="86">
        <v>1</v>
      </c>
      <c r="J100" s="86">
        <v>0</v>
      </c>
      <c r="K100" t="s">
        <v>743</v>
      </c>
      <c r="L100" t="s">
        <v>540</v>
      </c>
      <c r="M100" t="s">
        <v>256</v>
      </c>
      <c r="N100" t="str">
        <f>IF(SUM(ckCodingTable[[#This Row],[NfmlPIs]:[NnonWhtAsnPIs]])&gt;0,"WMD","")</f>
        <v/>
      </c>
      <c r="O100" t="b">
        <f>_xlfn.XOR(IFERROR(MATCH(ckCodingTable[[#This Row],[st_code]],EpscorTable[],0)&gt;0,FALSE),IFERROR(FIND("9150",ckCodingTable[[#This Row],[propPRCs]])&gt;0,FALSE))</f>
        <v>0</v>
      </c>
      <c r="P100" s="21" t="b">
        <f>_xlfn.XOR(ckCodingTable[[#This Row],[wmd]]&lt;&gt;"",IFERROR(FIND("9102",ckCodingTable[[#This Row],[propPRCs]])&gt;0,FALSE))</f>
        <v>0</v>
      </c>
      <c r="Q100" t="s">
        <v>784</v>
      </c>
      <c r="R100" s="22">
        <v>43076.609027777777</v>
      </c>
      <c r="S100" s="108">
        <f>S99+(ckCodingTable[[#This Row],[ILN]]&lt;"M")</f>
        <v>76</v>
      </c>
      <c r="T100" s="21" t="s">
        <v>96</v>
      </c>
      <c r="U100" t="s">
        <v>658</v>
      </c>
      <c r="V100" s="7" t="str">
        <f>HYPERLINK("https://www.ejacket.nsf.gov/ej/showProposal.do?ID="&amp;ckCodingTable[[#This Row],[prop_id]],"eJ")</f>
        <v>eJ</v>
      </c>
      <c r="W100" t="s">
        <v>742</v>
      </c>
      <c r="X100" t="s">
        <v>658</v>
      </c>
      <c r="Y100" t="s">
        <v>659</v>
      </c>
      <c r="Z100" t="s">
        <v>785</v>
      </c>
      <c r="AA100" t="s">
        <v>341</v>
      </c>
      <c r="AB100" s="113" t="str">
        <f>HYPERLINK("mailto:"&amp;ckCodingTable[[#This Row],[email]]&amp;"&amp;subject=Your NSF Proposal:  "&amp;ckCodingTable[[#This Row],[Div]]&amp;" "&amp;ckCodingTable[[#This Row],[prop_id]], ckCodingTable[[#This Row],[email]])</f>
        <v>craig@ucr.edu</v>
      </c>
      <c r="AC100" s="30">
        <v>43101</v>
      </c>
      <c r="AD100">
        <v>60</v>
      </c>
      <c r="AE100">
        <v>1</v>
      </c>
      <c r="AG100" s="122">
        <v>1</v>
      </c>
      <c r="AH100" t="s">
        <v>786</v>
      </c>
      <c r="AI100" s="26">
        <v>4</v>
      </c>
      <c r="AJ100" s="22">
        <v>43031.584027777775</v>
      </c>
      <c r="AL100">
        <v>4</v>
      </c>
      <c r="AN100" s="122">
        <v>4</v>
      </c>
      <c r="AO100" s="122"/>
      <c r="AP100" s="122"/>
      <c r="AQ100" s="122"/>
      <c r="AR100" s="123" t="str">
        <f>HYPERLINK("https://www.ejacket.nsf.gov/ej/showProposal.do?ID="&amp;ckCodingTable[[#This Row],[prop_id]],"eJ")</f>
        <v>eJ</v>
      </c>
      <c r="AS100" t="s">
        <v>173</v>
      </c>
      <c r="AT100" t="s">
        <v>787</v>
      </c>
      <c r="AU100" t="b">
        <f>IF(ckCodingTable[[#This Row],[ILN]]="N",SUBSTITUTE(AT99," ","")&lt;&gt;SUBSTITUTE(ckCodingTable[[#This Row],[prop_titl_txt]]," ",""), FALSE)</f>
        <v>0</v>
      </c>
      <c r="AV100">
        <v>0</v>
      </c>
      <c r="AW100" s="124">
        <v>440331</v>
      </c>
      <c r="AX100" s="124">
        <v>440331</v>
      </c>
      <c r="AY100" s="124"/>
      <c r="AZ100" s="124"/>
      <c r="BA100" s="124"/>
      <c r="BB100" s="124"/>
      <c r="BC100">
        <v>5</v>
      </c>
      <c r="BD100">
        <v>5</v>
      </c>
      <c r="BE100">
        <v>5</v>
      </c>
      <c r="BH100">
        <v>0</v>
      </c>
      <c r="BI100">
        <v>0</v>
      </c>
      <c r="BJ100">
        <v>0</v>
      </c>
      <c r="BK100">
        <v>0</v>
      </c>
      <c r="BL100" t="s">
        <v>788</v>
      </c>
    </row>
    <row r="101" spans="1:64">
      <c r="A101" s="30"/>
      <c r="B101" s="30">
        <v>42935.359027777777</v>
      </c>
      <c r="C101" t="s">
        <v>242</v>
      </c>
      <c r="D101" t="s">
        <v>741</v>
      </c>
      <c r="E101" t="s">
        <v>528</v>
      </c>
      <c r="F101" t="s">
        <v>172</v>
      </c>
      <c r="G101" t="s">
        <v>170</v>
      </c>
      <c r="H101" s="21" t="s">
        <v>94</v>
      </c>
      <c r="I101" s="86">
        <v>1</v>
      </c>
      <c r="J101" s="86">
        <v>0</v>
      </c>
      <c r="K101" t="s">
        <v>743</v>
      </c>
      <c r="L101" t="s">
        <v>1530</v>
      </c>
      <c r="M101" t="s">
        <v>258</v>
      </c>
      <c r="N101" t="str">
        <f>IF(SUM(ckCodingTable[[#This Row],[NfmlPIs]:[NnonWhtAsnPIs]])&gt;0,"WMD","")</f>
        <v/>
      </c>
      <c r="O101" t="b">
        <f>_xlfn.XOR(IFERROR(MATCH(ckCodingTable[[#This Row],[st_code]],EpscorTable[],0)&gt;0,FALSE),IFERROR(FIND("9150",ckCodingTable[[#This Row],[propPRCs]])&gt;0,FALSE))</f>
        <v>0</v>
      </c>
      <c r="P101" s="21" t="b">
        <f>_xlfn.XOR(ckCodingTable[[#This Row],[wmd]]&lt;&gt;"",IFERROR(FIND("9102",ckCodingTable[[#This Row],[propPRCs]])&gt;0,FALSE))</f>
        <v>0</v>
      </c>
      <c r="Q101" t="s">
        <v>744</v>
      </c>
      <c r="S101" s="108">
        <f>S100+(ckCodingTable[[#This Row],[ILN]]&lt;"M")</f>
        <v>77</v>
      </c>
      <c r="T101" s="21" t="s">
        <v>96</v>
      </c>
      <c r="U101" t="s">
        <v>1608</v>
      </c>
      <c r="V101" s="7" t="str">
        <f>HYPERLINK("https://www.ejacket.nsf.gov/ej/showProposal.do?ID="&amp;ckCodingTable[[#This Row],[prop_id]],"eJ")</f>
        <v>eJ</v>
      </c>
      <c r="W101" t="s">
        <v>742</v>
      </c>
      <c r="X101" t="s">
        <v>1608</v>
      </c>
      <c r="Y101" t="s">
        <v>1609</v>
      </c>
      <c r="Z101" t="s">
        <v>2377</v>
      </c>
      <c r="AA101" t="s">
        <v>2144</v>
      </c>
      <c r="AB101" s="113" t="str">
        <f>HYPERLINK("mailto:"&amp;ckCodingTable[[#This Row],[email]]&amp;"&amp;subject=Your NSF Proposal:  "&amp;ckCodingTable[[#This Row],[Div]]&amp;" "&amp;ckCodingTable[[#This Row],[prop_id]], ckCodingTable[[#This Row],[email]])</f>
        <v>shil@buffalo.edu</v>
      </c>
      <c r="AC101" s="30">
        <v>43344</v>
      </c>
      <c r="AD101">
        <v>60</v>
      </c>
      <c r="AE101">
        <v>1</v>
      </c>
      <c r="AG101" s="122"/>
      <c r="AH101" t="s">
        <v>2378</v>
      </c>
      <c r="AI101" s="26">
        <v>5.25</v>
      </c>
      <c r="AJ101" s="22">
        <v>43031.584722222222</v>
      </c>
      <c r="AK101" s="22">
        <v>2</v>
      </c>
      <c r="AL101">
        <v>4</v>
      </c>
      <c r="AN101" s="122"/>
      <c r="AO101" s="122"/>
      <c r="AP101" s="122"/>
      <c r="AQ101" s="122"/>
      <c r="AR101" s="123" t="str">
        <f>HYPERLINK("https://www.ejacket.nsf.gov/ej/showProposal.do?ID="&amp;ckCodingTable[[#This Row],[prop_id]],"eJ")</f>
        <v>eJ</v>
      </c>
      <c r="AS101" t="s">
        <v>173</v>
      </c>
      <c r="AT101" t="s">
        <v>2379</v>
      </c>
      <c r="AU101" t="b">
        <f>IF(ckCodingTable[[#This Row],[ILN]]="N",SUBSTITUTE(AT100," ","")&lt;&gt;SUBSTITUTE(ckCodingTable[[#This Row],[prop_titl_txt]]," ",""), FALSE)</f>
        <v>0</v>
      </c>
      <c r="AV101">
        <v>0</v>
      </c>
      <c r="AW101" s="124">
        <v>530842</v>
      </c>
      <c r="AX101" s="124">
        <v>530842</v>
      </c>
      <c r="AY101" s="124"/>
      <c r="AZ101" s="124">
        <v>10000</v>
      </c>
      <c r="BA101" s="124"/>
      <c r="BB101" s="124"/>
      <c r="BC101">
        <v>5</v>
      </c>
      <c r="BD101">
        <v>5</v>
      </c>
      <c r="BE101">
        <v>5</v>
      </c>
      <c r="BH101">
        <v>0</v>
      </c>
      <c r="BI101">
        <v>0</v>
      </c>
      <c r="BJ101">
        <v>0</v>
      </c>
      <c r="BK101">
        <v>0</v>
      </c>
      <c r="BL101" t="s">
        <v>2380</v>
      </c>
    </row>
    <row r="102" spans="1:64">
      <c r="A102" s="30"/>
      <c r="B102" s="30">
        <v>42935.374305555553</v>
      </c>
      <c r="C102" t="s">
        <v>242</v>
      </c>
      <c r="D102" t="s">
        <v>741</v>
      </c>
      <c r="E102" t="s">
        <v>528</v>
      </c>
      <c r="F102" t="s">
        <v>172</v>
      </c>
      <c r="G102" t="s">
        <v>170</v>
      </c>
      <c r="H102" s="21" t="s">
        <v>94</v>
      </c>
      <c r="I102" s="86">
        <v>0</v>
      </c>
      <c r="J102" s="86">
        <v>0</v>
      </c>
      <c r="K102" t="s">
        <v>743</v>
      </c>
      <c r="L102" t="s">
        <v>1530</v>
      </c>
      <c r="M102" t="s">
        <v>343</v>
      </c>
      <c r="N102" t="str">
        <f>IF(SUM(ckCodingTable[[#This Row],[NfmlPIs]:[NnonWhtAsnPIs]])&gt;0,"WMD","")</f>
        <v/>
      </c>
      <c r="O102" t="b">
        <f>_xlfn.XOR(IFERROR(MATCH(ckCodingTable[[#This Row],[st_code]],EpscorTable[],0)&gt;0,FALSE),IFERROR(FIND("9150",ckCodingTable[[#This Row],[propPRCs]])&gt;0,FALSE))</f>
        <v>0</v>
      </c>
      <c r="P102" s="21" t="b">
        <f>_xlfn.XOR(ckCodingTable[[#This Row],[wmd]]&lt;&gt;"",IFERROR(FIND("9102",ckCodingTable[[#This Row],[propPRCs]])&gt;0,FALSE))</f>
        <v>0</v>
      </c>
      <c r="Q102" t="s">
        <v>250</v>
      </c>
      <c r="S102" s="108">
        <f>S101+(ckCodingTable[[#This Row],[ILN]]&lt;"M")</f>
        <v>78</v>
      </c>
      <c r="T102" s="21" t="s">
        <v>96</v>
      </c>
      <c r="U102" t="s">
        <v>1616</v>
      </c>
      <c r="V102" s="7" t="str">
        <f>HYPERLINK("https://www.ejacket.nsf.gov/ej/showProposal.do?ID="&amp;ckCodingTable[[#This Row],[prop_id]],"eJ")</f>
        <v>eJ</v>
      </c>
      <c r="W102" t="s">
        <v>742</v>
      </c>
      <c r="X102" t="s">
        <v>1616</v>
      </c>
      <c r="Y102" t="s">
        <v>1617</v>
      </c>
      <c r="Z102" t="s">
        <v>2381</v>
      </c>
      <c r="AA102" t="s">
        <v>342</v>
      </c>
      <c r="AB102" s="113" t="str">
        <f>HYPERLINK("mailto:"&amp;ckCodingTable[[#This Row],[email]]&amp;"&amp;subject=Your NSF Proposal:  "&amp;ckCodingTable[[#This Row],[Div]]&amp;" "&amp;ckCodingTable[[#This Row],[prop_id]], ckCodingTable[[#This Row],[email]])</f>
        <v>viswa@umich.edu</v>
      </c>
      <c r="AC102" s="30">
        <v>43221</v>
      </c>
      <c r="AD102">
        <v>60</v>
      </c>
      <c r="AE102">
        <v>1</v>
      </c>
      <c r="AG102" s="122">
        <v>1</v>
      </c>
      <c r="AH102" t="s">
        <v>2367</v>
      </c>
      <c r="AI102" s="26">
        <v>7</v>
      </c>
      <c r="AJ102" s="22">
        <v>43032.519444444442</v>
      </c>
      <c r="AL102">
        <v>4</v>
      </c>
      <c r="AN102" s="122">
        <v>4</v>
      </c>
      <c r="AO102" s="122"/>
      <c r="AP102" s="122"/>
      <c r="AQ102" s="122"/>
      <c r="AR102" s="123" t="str">
        <f>HYPERLINK("https://www.ejacket.nsf.gov/ej/showProposal.do?ID="&amp;ckCodingTable[[#This Row],[prop_id]],"eJ")</f>
        <v>eJ</v>
      </c>
      <c r="AS102" t="s">
        <v>173</v>
      </c>
      <c r="AT102" t="s">
        <v>2382</v>
      </c>
      <c r="AU102" t="b">
        <f>IF(ckCodingTable[[#This Row],[ILN]]="N",SUBSTITUTE(AT101," ","")&lt;&gt;SUBSTITUTE(ckCodingTable[[#This Row],[prop_titl_txt]]," ",""), FALSE)</f>
        <v>0</v>
      </c>
      <c r="AV102">
        <v>0</v>
      </c>
      <c r="AW102" s="124">
        <v>524840</v>
      </c>
      <c r="AX102" s="124">
        <v>524840</v>
      </c>
      <c r="AY102" s="124"/>
      <c r="AZ102" s="124"/>
      <c r="BA102" s="124"/>
      <c r="BB102" s="124">
        <v>3000</v>
      </c>
      <c r="BC102">
        <v>5</v>
      </c>
      <c r="BD102">
        <v>5</v>
      </c>
      <c r="BE102">
        <v>5</v>
      </c>
      <c r="BH102">
        <v>0</v>
      </c>
      <c r="BI102">
        <v>0</v>
      </c>
      <c r="BJ102">
        <v>0</v>
      </c>
      <c r="BK102">
        <v>0</v>
      </c>
      <c r="BL102" t="s">
        <v>2383</v>
      </c>
    </row>
    <row r="103" spans="1:64">
      <c r="A103" s="30"/>
      <c r="B103" s="30">
        <v>42935.387499999997</v>
      </c>
      <c r="C103" t="s">
        <v>242</v>
      </c>
      <c r="D103" t="s">
        <v>741</v>
      </c>
      <c r="E103" t="s">
        <v>528</v>
      </c>
      <c r="F103" t="s">
        <v>172</v>
      </c>
      <c r="G103" t="s">
        <v>170</v>
      </c>
      <c r="H103" s="21" t="s">
        <v>94</v>
      </c>
      <c r="I103" s="86">
        <v>1</v>
      </c>
      <c r="J103" s="86">
        <v>0</v>
      </c>
      <c r="K103" t="s">
        <v>743</v>
      </c>
      <c r="L103" t="s">
        <v>1530</v>
      </c>
      <c r="M103" t="s">
        <v>344</v>
      </c>
      <c r="N103" t="str">
        <f>IF(SUM(ckCodingTable[[#This Row],[NfmlPIs]:[NnonWhtAsnPIs]])&gt;0,"WMD","")</f>
        <v/>
      </c>
      <c r="O103" t="b">
        <f>_xlfn.XOR(IFERROR(MATCH(ckCodingTable[[#This Row],[st_code]],EpscorTable[],0)&gt;0,FALSE),IFERROR(FIND("9150",ckCodingTable[[#This Row],[propPRCs]])&gt;0,FALSE))</f>
        <v>0</v>
      </c>
      <c r="P103" s="21" t="b">
        <f>_xlfn.XOR(ckCodingTable[[#This Row],[wmd]]&lt;&gt;"",IFERROR(FIND("9102",ckCodingTable[[#This Row],[propPRCs]])&gt;0,FALSE))</f>
        <v>0</v>
      </c>
      <c r="Q103" t="s">
        <v>744</v>
      </c>
      <c r="S103" s="108">
        <f>S102+(ckCodingTable[[#This Row],[ILN]]&lt;"M")</f>
        <v>79</v>
      </c>
      <c r="T103" s="21" t="s">
        <v>96</v>
      </c>
      <c r="U103" t="s">
        <v>1624</v>
      </c>
      <c r="V103" s="7" t="str">
        <f>HYPERLINK("https://www.ejacket.nsf.gov/ej/showProposal.do?ID="&amp;ckCodingTable[[#This Row],[prop_id]],"eJ")</f>
        <v>eJ</v>
      </c>
      <c r="W103" t="s">
        <v>742</v>
      </c>
      <c r="X103" t="s">
        <v>1624</v>
      </c>
      <c r="Y103" t="s">
        <v>1625</v>
      </c>
      <c r="Z103" t="s">
        <v>2384</v>
      </c>
      <c r="AA103" t="s">
        <v>2198</v>
      </c>
      <c r="AB103" s="113" t="str">
        <f>HYPERLINK("mailto:"&amp;ckCodingTable[[#This Row],[email]]&amp;"&amp;subject=Your NSF Proposal:  "&amp;ckCodingTable[[#This Row],[Div]]&amp;" "&amp;ckCodingTable[[#This Row],[prop_id]], ckCodingTable[[#This Row],[email]])</f>
        <v>debmalya.panigrahi@gmail.com</v>
      </c>
      <c r="AC103" s="30">
        <v>43160</v>
      </c>
      <c r="AD103">
        <v>60</v>
      </c>
      <c r="AE103">
        <v>1</v>
      </c>
      <c r="AG103" s="122">
        <v>1</v>
      </c>
      <c r="AH103" t="s">
        <v>2385</v>
      </c>
      <c r="AI103" s="26">
        <v>7.75</v>
      </c>
      <c r="AJ103" s="22">
        <v>43032.520138888889</v>
      </c>
      <c r="AK103" s="22">
        <v>2</v>
      </c>
      <c r="AL103">
        <v>4</v>
      </c>
      <c r="AN103" s="122">
        <v>4</v>
      </c>
      <c r="AO103" s="122"/>
      <c r="AP103" s="122"/>
      <c r="AQ103" s="122"/>
      <c r="AR103" s="123" t="str">
        <f>HYPERLINK("https://www.ejacket.nsf.gov/ej/showProposal.do?ID="&amp;ckCodingTable[[#This Row],[prop_id]],"eJ")</f>
        <v>eJ</v>
      </c>
      <c r="AS103" t="s">
        <v>173</v>
      </c>
      <c r="AT103" t="s">
        <v>2386</v>
      </c>
      <c r="AU103" t="b">
        <f>IF(ckCodingTable[[#This Row],[ILN]]="N",SUBSTITUTE(AT102," ","")&lt;&gt;SUBSTITUTE(ckCodingTable[[#This Row],[prop_titl_txt]]," ",""), FALSE)</f>
        <v>0</v>
      </c>
      <c r="AV103">
        <v>0</v>
      </c>
      <c r="AW103" s="124">
        <v>602288</v>
      </c>
      <c r="AX103" s="124">
        <v>602288</v>
      </c>
      <c r="AY103" s="124"/>
      <c r="AZ103" s="124">
        <v>21026</v>
      </c>
      <c r="BA103" s="124"/>
      <c r="BB103" s="124">
        <v>16000</v>
      </c>
      <c r="BC103">
        <v>5</v>
      </c>
      <c r="BD103">
        <v>5</v>
      </c>
      <c r="BE103">
        <v>7</v>
      </c>
      <c r="BH103">
        <v>0</v>
      </c>
      <c r="BI103">
        <v>0</v>
      </c>
      <c r="BJ103">
        <v>0</v>
      </c>
      <c r="BK103">
        <v>0</v>
      </c>
      <c r="BL103" t="s">
        <v>2387</v>
      </c>
    </row>
    <row r="104" spans="1:64">
      <c r="A104" s="30"/>
      <c r="B104" s="30">
        <v>42935.475694444445</v>
      </c>
      <c r="C104" t="s">
        <v>242</v>
      </c>
      <c r="D104" t="s">
        <v>741</v>
      </c>
      <c r="E104" t="s">
        <v>528</v>
      </c>
      <c r="F104" t="s">
        <v>172</v>
      </c>
      <c r="G104" t="s">
        <v>170</v>
      </c>
      <c r="H104" s="21" t="s">
        <v>94</v>
      </c>
      <c r="I104" s="86">
        <v>1</v>
      </c>
      <c r="J104" s="86">
        <v>0</v>
      </c>
      <c r="K104" t="s">
        <v>743</v>
      </c>
      <c r="L104" t="s">
        <v>1530</v>
      </c>
      <c r="M104" t="s">
        <v>1980</v>
      </c>
      <c r="N104" t="str">
        <f>IF(SUM(ckCodingTable[[#This Row],[NfmlPIs]:[NnonWhtAsnPIs]])&gt;0,"WMD","")</f>
        <v/>
      </c>
      <c r="O104" t="b">
        <f>_xlfn.XOR(IFERROR(MATCH(ckCodingTable[[#This Row],[st_code]],EpscorTable[],0)&gt;0,FALSE),IFERROR(FIND("9150",ckCodingTable[[#This Row],[propPRCs]])&gt;0,FALSE))</f>
        <v>0</v>
      </c>
      <c r="P104" s="21" t="b">
        <f>_xlfn.XOR(ckCodingTable[[#This Row],[wmd]]&lt;&gt;"",IFERROR(FIND("9102",ckCodingTable[[#This Row],[propPRCs]])&gt;0,FALSE))</f>
        <v>0</v>
      </c>
      <c r="Q104" t="s">
        <v>744</v>
      </c>
      <c r="S104" s="108">
        <f>S103+(ckCodingTable[[#This Row],[ILN]]&lt;"M")</f>
        <v>80</v>
      </c>
      <c r="T104" s="21" t="s">
        <v>96</v>
      </c>
      <c r="U104" t="s">
        <v>1632</v>
      </c>
      <c r="V104" s="7" t="str">
        <f>HYPERLINK("https://www.ejacket.nsf.gov/ej/showProposal.do?ID="&amp;ckCodingTable[[#This Row],[prop_id]],"eJ")</f>
        <v>eJ</v>
      </c>
      <c r="W104" t="s">
        <v>742</v>
      </c>
      <c r="X104" t="s">
        <v>1632</v>
      </c>
      <c r="Y104" t="s">
        <v>1633</v>
      </c>
      <c r="Z104" t="s">
        <v>1969</v>
      </c>
      <c r="AA104" t="s">
        <v>1983</v>
      </c>
      <c r="AB104" s="113" t="str">
        <f>HYPERLINK("mailto:"&amp;ckCodingTable[[#This Row],[email]]&amp;"&amp;subject=Your NSF Proposal:  "&amp;ckCodingTable[[#This Row],[Div]]&amp;" "&amp;ckCodingTable[[#This Row],[prop_id]], ckCodingTable[[#This Row],[email]])</f>
        <v>mdinitz@cs.jhu.edu</v>
      </c>
      <c r="AC104" s="30">
        <v>43282</v>
      </c>
      <c r="AD104">
        <v>60</v>
      </c>
      <c r="AE104">
        <v>1</v>
      </c>
      <c r="AG104" s="122">
        <v>1</v>
      </c>
      <c r="AH104" t="s">
        <v>2388</v>
      </c>
      <c r="AI104" s="26">
        <v>6.75</v>
      </c>
      <c r="AJ104" s="22">
        <v>43030.96875</v>
      </c>
      <c r="AK104" s="22">
        <v>1</v>
      </c>
      <c r="AL104">
        <v>4</v>
      </c>
      <c r="AN104" s="122">
        <v>4</v>
      </c>
      <c r="AO104" s="122"/>
      <c r="AP104" s="122"/>
      <c r="AQ104" s="122"/>
      <c r="AR104" s="123" t="str">
        <f>HYPERLINK("https://www.ejacket.nsf.gov/ej/showProposal.do?ID="&amp;ckCodingTable[[#This Row],[prop_id]],"eJ")</f>
        <v>eJ</v>
      </c>
      <c r="AS104" t="s">
        <v>173</v>
      </c>
      <c r="AT104" t="s">
        <v>2389</v>
      </c>
      <c r="AU104" t="b">
        <f>IF(ckCodingTable[[#This Row],[ILN]]="N",SUBSTITUTE(AT103," ","")&lt;&gt;SUBSTITUTE(ckCodingTable[[#This Row],[prop_titl_txt]]," ",""), FALSE)</f>
        <v>0</v>
      </c>
      <c r="AV104">
        <v>0</v>
      </c>
      <c r="AW104" s="124">
        <v>507459</v>
      </c>
      <c r="AX104" s="124">
        <v>507459</v>
      </c>
      <c r="AY104" s="124"/>
      <c r="AZ104" s="124">
        <v>4200</v>
      </c>
      <c r="BA104" s="124"/>
      <c r="BB104" s="124"/>
      <c r="BC104">
        <v>5</v>
      </c>
      <c r="BD104">
        <v>5</v>
      </c>
      <c r="BG104">
        <v>5</v>
      </c>
      <c r="BH104">
        <v>0</v>
      </c>
      <c r="BI104">
        <v>0</v>
      </c>
      <c r="BJ104">
        <v>0</v>
      </c>
      <c r="BK104">
        <v>0</v>
      </c>
      <c r="BL104" t="s">
        <v>2390</v>
      </c>
    </row>
    <row r="105" spans="1:64">
      <c r="A105" s="30"/>
      <c r="B105" s="30">
        <v>42935.488888888889</v>
      </c>
      <c r="C105" t="s">
        <v>242</v>
      </c>
      <c r="D105" t="s">
        <v>741</v>
      </c>
      <c r="E105" t="s">
        <v>528</v>
      </c>
      <c r="F105" t="s">
        <v>172</v>
      </c>
      <c r="G105" t="s">
        <v>170</v>
      </c>
      <c r="H105" s="21" t="s">
        <v>94</v>
      </c>
      <c r="I105" s="86">
        <v>1</v>
      </c>
      <c r="J105" s="86">
        <v>0</v>
      </c>
      <c r="K105" t="s">
        <v>743</v>
      </c>
      <c r="L105" t="s">
        <v>1530</v>
      </c>
      <c r="M105" t="s">
        <v>257</v>
      </c>
      <c r="N105" t="str">
        <f>IF(SUM(ckCodingTable[[#This Row],[NfmlPIs]:[NnonWhtAsnPIs]])&gt;0,"WMD","")</f>
        <v/>
      </c>
      <c r="O105" t="b">
        <f>_xlfn.XOR(IFERROR(MATCH(ckCodingTable[[#This Row],[st_code]],EpscorTable[],0)&gt;0,FALSE),IFERROR(FIND("9150",ckCodingTable[[#This Row],[propPRCs]])&gt;0,FALSE))</f>
        <v>0</v>
      </c>
      <c r="P105" s="21" t="b">
        <f>_xlfn.XOR(ckCodingTable[[#This Row],[wmd]]&lt;&gt;"",IFERROR(FIND("9102",ckCodingTable[[#This Row],[propPRCs]])&gt;0,FALSE))</f>
        <v>0</v>
      </c>
      <c r="Q105" t="s">
        <v>744</v>
      </c>
      <c r="S105" s="108">
        <f>S104+(ckCodingTable[[#This Row],[ILN]]&lt;"M")</f>
        <v>81</v>
      </c>
      <c r="T105" s="21" t="s">
        <v>96</v>
      </c>
      <c r="U105" t="s">
        <v>1640</v>
      </c>
      <c r="V105" s="7" t="str">
        <f>HYPERLINK("https://www.ejacket.nsf.gov/ej/showProposal.do?ID="&amp;ckCodingTable[[#This Row],[prop_id]],"eJ")</f>
        <v>eJ</v>
      </c>
      <c r="W105" t="s">
        <v>742</v>
      </c>
      <c r="X105" t="s">
        <v>1640</v>
      </c>
      <c r="Y105" t="s">
        <v>1641</v>
      </c>
      <c r="Z105" t="s">
        <v>2391</v>
      </c>
      <c r="AA105" t="s">
        <v>2287</v>
      </c>
      <c r="AB105" s="113" t="str">
        <f>HYPERLINK("mailto:"&amp;ckCodingTable[[#This Row],[email]]&amp;"&amp;subject=Your NSF Proposal:  "&amp;ckCodingTable[[#This Row],[Div]]&amp;" "&amp;ckCodingTable[[#This Row],[prop_id]], ckCodingTable[[#This Row],[email]])</f>
        <v>aene@bu.edu</v>
      </c>
      <c r="AC105" s="30">
        <v>43101</v>
      </c>
      <c r="AD105">
        <v>60</v>
      </c>
      <c r="AE105">
        <v>1</v>
      </c>
      <c r="AG105" s="122">
        <v>1</v>
      </c>
      <c r="AH105" t="s">
        <v>2392</v>
      </c>
      <c r="AI105" s="26">
        <v>7.5</v>
      </c>
      <c r="AJ105" s="22">
        <v>43032.52847222222</v>
      </c>
      <c r="AK105" s="22">
        <v>1</v>
      </c>
      <c r="AL105">
        <v>4</v>
      </c>
      <c r="AN105" s="122">
        <v>4</v>
      </c>
      <c r="AO105" s="122"/>
      <c r="AP105" s="122"/>
      <c r="AQ105" s="122"/>
      <c r="AR105" s="123" t="str">
        <f>HYPERLINK("https://www.ejacket.nsf.gov/ej/showProposal.do?ID="&amp;ckCodingTable[[#This Row],[prop_id]],"eJ")</f>
        <v>eJ</v>
      </c>
      <c r="AS105" t="s">
        <v>173</v>
      </c>
      <c r="AT105" t="s">
        <v>2393</v>
      </c>
      <c r="AU105" t="b">
        <f>IF(ckCodingTable[[#This Row],[ILN]]="N",SUBSTITUTE(AT104," ","")&lt;&gt;SUBSTITUTE(ckCodingTable[[#This Row],[prop_titl_txt]]," ",""), FALSE)</f>
        <v>0</v>
      </c>
      <c r="AV105">
        <v>0</v>
      </c>
      <c r="AW105" s="124">
        <v>507423</v>
      </c>
      <c r="AX105" s="124">
        <v>507423</v>
      </c>
      <c r="AY105" s="124"/>
      <c r="AZ105" s="124">
        <v>15000</v>
      </c>
      <c r="BA105" s="124"/>
      <c r="BB105" s="124"/>
      <c r="BC105">
        <v>5</v>
      </c>
      <c r="BD105">
        <v>5</v>
      </c>
      <c r="BE105">
        <v>5</v>
      </c>
      <c r="BH105">
        <v>0</v>
      </c>
      <c r="BI105">
        <v>0</v>
      </c>
      <c r="BJ105">
        <v>0</v>
      </c>
      <c r="BK105">
        <v>0</v>
      </c>
      <c r="BL105" t="s">
        <v>2394</v>
      </c>
    </row>
    <row r="106" spans="1:64">
      <c r="A106" s="30"/>
      <c r="B106" s="30">
        <v>42935.491666666669</v>
      </c>
      <c r="C106" t="s">
        <v>242</v>
      </c>
      <c r="D106" t="s">
        <v>741</v>
      </c>
      <c r="E106" t="s">
        <v>528</v>
      </c>
      <c r="F106" t="s">
        <v>172</v>
      </c>
      <c r="G106" t="s">
        <v>170</v>
      </c>
      <c r="H106" s="21" t="s">
        <v>94</v>
      </c>
      <c r="I106" s="86">
        <v>1</v>
      </c>
      <c r="J106" s="86">
        <v>0</v>
      </c>
      <c r="K106" t="s">
        <v>743</v>
      </c>
      <c r="L106" t="s">
        <v>1530</v>
      </c>
      <c r="M106" t="s">
        <v>98</v>
      </c>
      <c r="N106" t="str">
        <f>IF(SUM(ckCodingTable[[#This Row],[NfmlPIs]:[NnonWhtAsnPIs]])&gt;0,"WMD","")</f>
        <v/>
      </c>
      <c r="O106" t="b">
        <f>_xlfn.XOR(IFERROR(MATCH(ckCodingTable[[#This Row],[st_code]],EpscorTable[],0)&gt;0,FALSE),IFERROR(FIND("9150",ckCodingTable[[#This Row],[propPRCs]])&gt;0,FALSE))</f>
        <v>0</v>
      </c>
      <c r="P106" s="21" t="b">
        <f>_xlfn.XOR(ckCodingTable[[#This Row],[wmd]]&lt;&gt;"",IFERROR(FIND("9102",ckCodingTable[[#This Row],[propPRCs]])&gt;0,FALSE))</f>
        <v>0</v>
      </c>
      <c r="Q106" t="s">
        <v>2395</v>
      </c>
      <c r="S106" s="108">
        <f>S105+(ckCodingTable[[#This Row],[ILN]]&lt;"M")</f>
        <v>82</v>
      </c>
      <c r="T106" s="21" t="s">
        <v>96</v>
      </c>
      <c r="U106" t="s">
        <v>1647</v>
      </c>
      <c r="V106" s="7" t="str">
        <f>HYPERLINK("https://www.ejacket.nsf.gov/ej/showProposal.do?ID="&amp;ckCodingTable[[#This Row],[prop_id]],"eJ")</f>
        <v>eJ</v>
      </c>
      <c r="W106" t="s">
        <v>742</v>
      </c>
      <c r="X106" t="s">
        <v>1647</v>
      </c>
      <c r="Y106" t="s">
        <v>1031</v>
      </c>
      <c r="Z106" t="s">
        <v>798</v>
      </c>
      <c r="AA106" t="s">
        <v>2087</v>
      </c>
      <c r="AB106" s="113" t="str">
        <f>HYPERLINK("mailto:"&amp;ckCodingTable[[#This Row],[email]]&amp;"&amp;subject=Your NSF Proposal:  "&amp;ckCodingTable[[#This Row],[Div]]&amp;" "&amp;ckCodingTable[[#This Row],[prop_id]], ckCodingTable[[#This Row],[email]])</f>
        <v>pvaliant@gmail.com</v>
      </c>
      <c r="AC106" s="30">
        <v>43252</v>
      </c>
      <c r="AD106">
        <v>60</v>
      </c>
      <c r="AE106">
        <v>1</v>
      </c>
      <c r="AG106" s="122"/>
      <c r="AH106" t="s">
        <v>2396</v>
      </c>
      <c r="AI106" s="26">
        <v>5</v>
      </c>
      <c r="AJ106" s="22">
        <v>43059.950694444444</v>
      </c>
      <c r="AL106">
        <v>4</v>
      </c>
      <c r="AN106" s="122"/>
      <c r="AO106" s="122"/>
      <c r="AP106" s="122"/>
      <c r="AQ106" s="122"/>
      <c r="AR106" s="123" t="str">
        <f>HYPERLINK("https://www.ejacket.nsf.gov/ej/showProposal.do?ID="&amp;ckCodingTable[[#This Row],[prop_id]],"eJ")</f>
        <v>eJ</v>
      </c>
      <c r="AS106" t="s">
        <v>173</v>
      </c>
      <c r="AT106" t="s">
        <v>2397</v>
      </c>
      <c r="AU106" t="b">
        <f>IF(ckCodingTable[[#This Row],[ILN]]="N",SUBSTITUTE(AT105," ","")&lt;&gt;SUBSTITUTE(ckCodingTable[[#This Row],[prop_titl_txt]]," ",""), FALSE)</f>
        <v>0</v>
      </c>
      <c r="AV106">
        <v>0</v>
      </c>
      <c r="AW106" s="124">
        <v>666111</v>
      </c>
      <c r="AX106" s="124">
        <v>666111</v>
      </c>
      <c r="AY106" s="124"/>
      <c r="AZ106" s="124">
        <v>10618</v>
      </c>
      <c r="BA106" s="124"/>
      <c r="BB106" s="124"/>
      <c r="BC106">
        <v>5</v>
      </c>
      <c r="BD106">
        <v>5</v>
      </c>
      <c r="BE106">
        <v>5</v>
      </c>
      <c r="BH106">
        <v>0</v>
      </c>
      <c r="BI106">
        <v>0</v>
      </c>
      <c r="BJ106">
        <v>0</v>
      </c>
      <c r="BK106">
        <v>0</v>
      </c>
      <c r="BL106" t="s">
        <v>2398</v>
      </c>
    </row>
    <row r="107" spans="1:64">
      <c r="A107" s="30"/>
      <c r="B107" s="30">
        <v>42935.535416666666</v>
      </c>
      <c r="C107" t="s">
        <v>242</v>
      </c>
      <c r="D107" t="s">
        <v>741</v>
      </c>
      <c r="E107" t="s">
        <v>528</v>
      </c>
      <c r="F107" t="s">
        <v>172</v>
      </c>
      <c r="G107" t="s">
        <v>170</v>
      </c>
      <c r="H107" s="21" t="s">
        <v>94</v>
      </c>
      <c r="I107" s="86">
        <v>1</v>
      </c>
      <c r="J107" s="86">
        <v>0</v>
      </c>
      <c r="K107" t="s">
        <v>743</v>
      </c>
      <c r="L107" t="s">
        <v>543</v>
      </c>
      <c r="M107" t="s">
        <v>340</v>
      </c>
      <c r="N107" t="str">
        <f>IF(SUM(ckCodingTable[[#This Row],[NfmlPIs]:[NnonWhtAsnPIs]])&gt;0,"WMD","")</f>
        <v/>
      </c>
      <c r="O107" t="b">
        <f>_xlfn.XOR(IFERROR(MATCH(ckCodingTable[[#This Row],[st_code]],EpscorTable[],0)&gt;0,FALSE),IFERROR(FIND("9150",ckCodingTable[[#This Row],[propPRCs]])&gt;0,FALSE))</f>
        <v>0</v>
      </c>
      <c r="P107" s="21" t="b">
        <f>_xlfn.XOR(ckCodingTable[[#This Row],[wmd]]&lt;&gt;"",IFERROR(FIND("9102",ckCodingTable[[#This Row],[propPRCs]])&gt;0,FALSE))</f>
        <v>0</v>
      </c>
      <c r="Q107" t="s">
        <v>2399</v>
      </c>
      <c r="S107" s="108">
        <f>S106+(ckCodingTable[[#This Row],[ILN]]&lt;"M")</f>
        <v>83</v>
      </c>
      <c r="T107" s="21" t="s">
        <v>96</v>
      </c>
      <c r="U107" t="s">
        <v>1654</v>
      </c>
      <c r="V107" s="7" t="str">
        <f>HYPERLINK("https://www.ejacket.nsf.gov/ej/showProposal.do?ID="&amp;ckCodingTable[[#This Row],[prop_id]],"eJ")</f>
        <v>eJ</v>
      </c>
      <c r="W107" t="s">
        <v>742</v>
      </c>
      <c r="X107" t="s">
        <v>1654</v>
      </c>
      <c r="Y107" t="s">
        <v>1655</v>
      </c>
      <c r="Z107" t="s">
        <v>2400</v>
      </c>
      <c r="AA107" t="s">
        <v>339</v>
      </c>
      <c r="AB107" s="113" t="str">
        <f>HYPERLINK("mailto:"&amp;ckCodingTable[[#This Row],[email]]&amp;"&amp;subject=Your NSF Proposal:  "&amp;ckCodingTable[[#This Row],[Div]]&amp;" "&amp;ckCodingTable[[#This Row],[prop_id]], ckCodingTable[[#This Row],[email]])</f>
        <v>rutameht@illinois.edu</v>
      </c>
      <c r="AC107" s="30">
        <v>43132</v>
      </c>
      <c r="AD107">
        <v>60</v>
      </c>
      <c r="AE107">
        <v>1</v>
      </c>
      <c r="AG107" s="122">
        <v>1</v>
      </c>
      <c r="AH107" t="s">
        <v>2401</v>
      </c>
      <c r="AI107" s="26">
        <v>7.25</v>
      </c>
      <c r="AJ107" s="22">
        <v>43060.566666666666</v>
      </c>
      <c r="AK107" s="22">
        <v>1</v>
      </c>
      <c r="AL107">
        <v>4</v>
      </c>
      <c r="AN107" s="122">
        <v>4</v>
      </c>
      <c r="AO107" s="122"/>
      <c r="AP107" s="122"/>
      <c r="AQ107" s="122"/>
      <c r="AR107" s="123" t="str">
        <f>HYPERLINK("https://www.ejacket.nsf.gov/ej/showProposal.do?ID="&amp;ckCodingTable[[#This Row],[prop_id]],"eJ")</f>
        <v>eJ</v>
      </c>
      <c r="AS107" t="s">
        <v>173</v>
      </c>
      <c r="AT107" t="s">
        <v>2402</v>
      </c>
      <c r="AU107" t="b">
        <f>IF(ckCodingTable[[#This Row],[ILN]]="N",SUBSTITUTE(AT106," ","")&lt;&gt;SUBSTITUTE(ckCodingTable[[#This Row],[prop_titl_txt]]," ",""), FALSE)</f>
        <v>0</v>
      </c>
      <c r="AV107">
        <v>0</v>
      </c>
      <c r="AW107" s="124">
        <v>499906</v>
      </c>
      <c r="AX107" s="124">
        <v>499906</v>
      </c>
      <c r="AY107" s="124"/>
      <c r="AZ107" s="124">
        <v>10000</v>
      </c>
      <c r="BA107" s="124"/>
      <c r="BB107" s="124"/>
      <c r="BC107">
        <v>5</v>
      </c>
      <c r="BD107">
        <v>4</v>
      </c>
      <c r="BE107">
        <v>4</v>
      </c>
      <c r="BH107">
        <v>0</v>
      </c>
      <c r="BI107">
        <v>0</v>
      </c>
      <c r="BJ107">
        <v>0</v>
      </c>
      <c r="BK107">
        <v>0</v>
      </c>
      <c r="BL107" t="s">
        <v>2403</v>
      </c>
    </row>
    <row r="108" spans="1:64">
      <c r="A108" s="30"/>
      <c r="B108" s="30">
        <v>42935.536805555559</v>
      </c>
      <c r="C108" t="s">
        <v>242</v>
      </c>
      <c r="D108" t="s">
        <v>741</v>
      </c>
      <c r="E108" t="s">
        <v>528</v>
      </c>
      <c r="F108" t="s">
        <v>172</v>
      </c>
      <c r="G108" t="s">
        <v>170</v>
      </c>
      <c r="H108" s="21" t="s">
        <v>94</v>
      </c>
      <c r="I108" s="86">
        <v>1</v>
      </c>
      <c r="J108" s="86">
        <v>0</v>
      </c>
      <c r="K108" t="s">
        <v>743</v>
      </c>
      <c r="L108" t="s">
        <v>543</v>
      </c>
      <c r="M108" t="s">
        <v>2207</v>
      </c>
      <c r="N108" t="str">
        <f>IF(SUM(ckCodingTable[[#This Row],[NfmlPIs]:[NnonWhtAsnPIs]])&gt;0,"WMD","")</f>
        <v/>
      </c>
      <c r="O108" t="b">
        <f>_xlfn.XOR(IFERROR(MATCH(ckCodingTable[[#This Row],[st_code]],EpscorTable[],0)&gt;0,FALSE),IFERROR(FIND("9150",ckCodingTable[[#This Row],[propPRCs]])&gt;0,FALSE))</f>
        <v>0</v>
      </c>
      <c r="P108" s="21" t="b">
        <f>_xlfn.XOR(ckCodingTable[[#This Row],[wmd]]&lt;&gt;"",IFERROR(FIND("9102",ckCodingTable[[#This Row],[propPRCs]])&gt;0,FALSE))</f>
        <v>0</v>
      </c>
      <c r="Q108" t="s">
        <v>2365</v>
      </c>
      <c r="S108" s="108">
        <f>S107+(ckCodingTable[[#This Row],[ILN]]&lt;"M")</f>
        <v>84</v>
      </c>
      <c r="T108" s="21" t="s">
        <v>96</v>
      </c>
      <c r="U108" t="s">
        <v>1665</v>
      </c>
      <c r="V108" s="7" t="str">
        <f>HYPERLINK("https://www.ejacket.nsf.gov/ej/showProposal.do?ID="&amp;ckCodingTable[[#This Row],[prop_id]],"eJ")</f>
        <v>eJ</v>
      </c>
      <c r="W108" t="s">
        <v>742</v>
      </c>
      <c r="X108" t="s">
        <v>1665</v>
      </c>
      <c r="Y108" t="s">
        <v>1666</v>
      </c>
      <c r="Z108" t="s">
        <v>2404</v>
      </c>
      <c r="AA108" t="s">
        <v>2209</v>
      </c>
      <c r="AB108" s="113" t="str">
        <f>HYPERLINK("mailto:"&amp;ckCodingTable[[#This Row],[email]]&amp;"&amp;subject=Your NSF Proposal:  "&amp;ckCodingTable[[#This Row],[Div]]&amp;" "&amp;ckCodingTable[[#This Row],[prop_id]], ckCodingTable[[#This Row],[email]])</f>
        <v>gillat.kol@gmail.com</v>
      </c>
      <c r="AC108" s="30">
        <v>43132</v>
      </c>
      <c r="AD108">
        <v>60</v>
      </c>
      <c r="AE108">
        <v>2</v>
      </c>
      <c r="AG108" s="122">
        <v>2</v>
      </c>
      <c r="AH108" t="s">
        <v>2405</v>
      </c>
      <c r="AI108" s="26">
        <v>6.2222222222222223</v>
      </c>
      <c r="AJ108" s="22">
        <v>43059.575694444444</v>
      </c>
      <c r="AL108">
        <v>9</v>
      </c>
      <c r="AN108" s="122">
        <v>9</v>
      </c>
      <c r="AO108" s="122"/>
      <c r="AP108" s="122"/>
      <c r="AQ108" s="122"/>
      <c r="AR108" s="123" t="str">
        <f>HYPERLINK("https://www.ejacket.nsf.gov/ej/showProposal.do?ID="&amp;ckCodingTable[[#This Row],[prop_id]],"eJ")</f>
        <v>eJ</v>
      </c>
      <c r="AS108" t="s">
        <v>173</v>
      </c>
      <c r="AT108" t="s">
        <v>2406</v>
      </c>
      <c r="AU108" t="b">
        <f>IF(ckCodingTable[[#This Row],[ILN]]="N",SUBSTITUTE(AT107," ","")&lt;&gt;SUBSTITUTE(ckCodingTable[[#This Row],[prop_titl_txt]]," ",""), FALSE)</f>
        <v>0</v>
      </c>
      <c r="AV108">
        <v>0</v>
      </c>
      <c r="AW108" s="124">
        <v>550000</v>
      </c>
      <c r="AX108" s="124">
        <v>550000</v>
      </c>
      <c r="AY108" s="124"/>
      <c r="AZ108" s="124"/>
      <c r="BA108" s="124"/>
      <c r="BB108" s="124"/>
      <c r="BC108">
        <v>5</v>
      </c>
      <c r="BD108">
        <v>5</v>
      </c>
      <c r="BE108">
        <v>5</v>
      </c>
      <c r="BH108">
        <v>0</v>
      </c>
      <c r="BI108">
        <v>0</v>
      </c>
      <c r="BJ108">
        <v>0</v>
      </c>
      <c r="BK108">
        <v>0</v>
      </c>
      <c r="BL108" t="s">
        <v>2407</v>
      </c>
    </row>
    <row r="109" spans="1:64">
      <c r="A109" s="30"/>
      <c r="B109" s="30">
        <v>42935.54583333333</v>
      </c>
      <c r="C109" t="s">
        <v>242</v>
      </c>
      <c r="D109" t="s">
        <v>741</v>
      </c>
      <c r="E109" t="s">
        <v>528</v>
      </c>
      <c r="F109" t="s">
        <v>172</v>
      </c>
      <c r="G109" t="s">
        <v>170</v>
      </c>
      <c r="H109" s="21" t="s">
        <v>94</v>
      </c>
      <c r="I109" s="86">
        <v>1</v>
      </c>
      <c r="J109" s="86">
        <v>0</v>
      </c>
      <c r="K109" t="s">
        <v>743</v>
      </c>
      <c r="L109" t="s">
        <v>1530</v>
      </c>
      <c r="M109" t="s">
        <v>2182</v>
      </c>
      <c r="N109" t="str">
        <f>IF(SUM(ckCodingTable[[#This Row],[NfmlPIs]:[NnonWhtAsnPIs]])&gt;0,"WMD","")</f>
        <v/>
      </c>
      <c r="O109" t="b">
        <f>_xlfn.XOR(IFERROR(MATCH(ckCodingTable[[#This Row],[st_code]],EpscorTable[],0)&gt;0,FALSE),IFERROR(FIND("9150",ckCodingTable[[#This Row],[propPRCs]])&gt;0,FALSE))</f>
        <v>0</v>
      </c>
      <c r="P109" s="21" t="b">
        <f>_xlfn.XOR(ckCodingTable[[#This Row],[wmd]]&lt;&gt;"",IFERROR(FIND("9102",ckCodingTable[[#This Row],[propPRCs]])&gt;0,FALSE))</f>
        <v>0</v>
      </c>
      <c r="Q109" t="s">
        <v>744</v>
      </c>
      <c r="S109" s="108">
        <f>S108+(ckCodingTable[[#This Row],[ILN]]&lt;"M")</f>
        <v>85</v>
      </c>
      <c r="T109" s="21" t="s">
        <v>96</v>
      </c>
      <c r="U109" t="s">
        <v>1697</v>
      </c>
      <c r="V109" s="7" t="str">
        <f>HYPERLINK("https://www.ejacket.nsf.gov/ej/showProposal.do?ID="&amp;ckCodingTable[[#This Row],[prop_id]],"eJ")</f>
        <v>eJ</v>
      </c>
      <c r="W109" t="s">
        <v>742</v>
      </c>
      <c r="X109" t="s">
        <v>1697</v>
      </c>
      <c r="Y109" t="s">
        <v>1698</v>
      </c>
      <c r="Z109" t="s">
        <v>2408</v>
      </c>
      <c r="AA109" t="s">
        <v>2184</v>
      </c>
      <c r="AB109" s="113" t="str">
        <f>HYPERLINK("mailto:"&amp;ckCodingTable[[#This Row],[email]]&amp;"&amp;subject=Your NSF Proposal:  "&amp;ckCodingTable[[#This Row],[Div]]&amp;" "&amp;ckCodingTable[[#This Row],[prop_id]], ckCodingTable[[#This Row],[email]])</f>
        <v>sharathr@vt.edu</v>
      </c>
      <c r="AC109" s="30">
        <v>43110</v>
      </c>
      <c r="AD109">
        <v>60</v>
      </c>
      <c r="AE109">
        <v>1</v>
      </c>
      <c r="AG109" s="122"/>
      <c r="AH109" t="s">
        <v>2409</v>
      </c>
      <c r="AI109" s="26">
        <v>6.5</v>
      </c>
      <c r="AJ109" s="22">
        <v>43032.486805555556</v>
      </c>
      <c r="AK109" s="22">
        <v>2</v>
      </c>
      <c r="AL109">
        <v>4</v>
      </c>
      <c r="AN109" s="122"/>
      <c r="AO109" s="122"/>
      <c r="AP109" s="122"/>
      <c r="AQ109" s="122"/>
      <c r="AR109" s="123" t="str">
        <f>HYPERLINK("https://www.ejacket.nsf.gov/ej/showProposal.do?ID="&amp;ckCodingTable[[#This Row],[prop_id]],"eJ")</f>
        <v>eJ</v>
      </c>
      <c r="AS109" t="s">
        <v>173</v>
      </c>
      <c r="AT109" t="s">
        <v>2410</v>
      </c>
      <c r="AU109" t="b">
        <f>IF(ckCodingTable[[#This Row],[ILN]]="N",SUBSTITUTE(AT108," ","")&lt;&gt;SUBSTITUTE(ckCodingTable[[#This Row],[prop_titl_txt]]," ",""), FALSE)</f>
        <v>0</v>
      </c>
      <c r="AV109">
        <v>0</v>
      </c>
      <c r="AW109" s="124">
        <v>533991</v>
      </c>
      <c r="AX109" s="124">
        <v>533991</v>
      </c>
      <c r="AY109" s="124"/>
      <c r="AZ109" s="124">
        <v>7500</v>
      </c>
      <c r="BA109" s="124"/>
      <c r="BB109" s="124"/>
      <c r="BC109">
        <v>5</v>
      </c>
      <c r="BD109">
        <v>5</v>
      </c>
      <c r="BE109">
        <v>6.5</v>
      </c>
      <c r="BH109">
        <v>0</v>
      </c>
      <c r="BI109">
        <v>0</v>
      </c>
      <c r="BJ109">
        <v>0</v>
      </c>
      <c r="BK109">
        <v>0</v>
      </c>
      <c r="BL109" t="s">
        <v>2411</v>
      </c>
    </row>
    <row r="110" spans="1:64">
      <c r="A110" s="30"/>
      <c r="B110" s="30">
        <v>42935.576388888891</v>
      </c>
      <c r="C110" t="s">
        <v>242</v>
      </c>
      <c r="D110" t="s">
        <v>741</v>
      </c>
      <c r="E110" t="s">
        <v>528</v>
      </c>
      <c r="F110" t="s">
        <v>172</v>
      </c>
      <c r="G110" t="s">
        <v>170</v>
      </c>
      <c r="H110" s="21" t="s">
        <v>94</v>
      </c>
      <c r="I110" s="86">
        <v>1</v>
      </c>
      <c r="J110" s="86">
        <v>0</v>
      </c>
      <c r="K110" t="s">
        <v>743</v>
      </c>
      <c r="L110" t="s">
        <v>543</v>
      </c>
      <c r="M110" t="s">
        <v>256</v>
      </c>
      <c r="N110" t="str">
        <f>IF(SUM(ckCodingTable[[#This Row],[NfmlPIs]:[NnonWhtAsnPIs]])&gt;0,"WMD","")</f>
        <v/>
      </c>
      <c r="O110" t="b">
        <f>_xlfn.XOR(IFERROR(MATCH(ckCodingTable[[#This Row],[st_code]],EpscorTable[],0)&gt;0,FALSE),IFERROR(FIND("9150",ckCodingTable[[#This Row],[propPRCs]])&gt;0,FALSE))</f>
        <v>0</v>
      </c>
      <c r="P110" s="21" t="b">
        <f>_xlfn.XOR(ckCodingTable[[#This Row],[wmd]]&lt;&gt;"",IFERROR(FIND("9102",ckCodingTable[[#This Row],[propPRCs]])&gt;0,FALSE))</f>
        <v>0</v>
      </c>
      <c r="Q110" t="s">
        <v>744</v>
      </c>
      <c r="S110" s="108">
        <f>S109+(ckCodingTable[[#This Row],[ILN]]&lt;"M")</f>
        <v>86</v>
      </c>
      <c r="T110" s="21" t="s">
        <v>96</v>
      </c>
      <c r="U110" t="s">
        <v>1705</v>
      </c>
      <c r="V110" s="7" t="str">
        <f>HYPERLINK("https://www.ejacket.nsf.gov/ej/showProposal.do?ID="&amp;ckCodingTable[[#This Row],[prop_id]],"eJ")</f>
        <v>eJ</v>
      </c>
      <c r="W110" t="s">
        <v>742</v>
      </c>
      <c r="X110" t="s">
        <v>1705</v>
      </c>
      <c r="Y110" t="s">
        <v>1706</v>
      </c>
      <c r="Z110" t="s">
        <v>2412</v>
      </c>
      <c r="AA110" t="s">
        <v>2325</v>
      </c>
      <c r="AB110" s="113" t="str">
        <f>HYPERLINK("mailto:"&amp;ckCodingTable[[#This Row],[email]]&amp;"&amp;subject=Your NSF Proposal:  "&amp;ckCodingTable[[#This Row],[Div]]&amp;" "&amp;ckCodingTable[[#This Row],[prop_id]], ckCodingTable[[#This Row],[email]])</f>
        <v xml:space="preserve"> hardt@eecs.berkeley.edu</v>
      </c>
      <c r="AC110" s="30">
        <v>43132</v>
      </c>
      <c r="AD110">
        <v>60</v>
      </c>
      <c r="AE110">
        <v>1</v>
      </c>
      <c r="AG110" s="122">
        <v>1</v>
      </c>
      <c r="AH110" t="s">
        <v>2413</v>
      </c>
      <c r="AI110" s="26">
        <v>8.75</v>
      </c>
      <c r="AJ110" s="22">
        <v>43059.785416666666</v>
      </c>
      <c r="AL110">
        <v>4</v>
      </c>
      <c r="AN110" s="122">
        <v>4</v>
      </c>
      <c r="AO110" s="122"/>
      <c r="AP110" s="122"/>
      <c r="AQ110" s="122"/>
      <c r="AR110" s="123" t="str">
        <f>HYPERLINK("https://www.ejacket.nsf.gov/ej/showProposal.do?ID="&amp;ckCodingTable[[#This Row],[prop_id]],"eJ")</f>
        <v>eJ</v>
      </c>
      <c r="AS110" t="s">
        <v>173</v>
      </c>
      <c r="AT110" t="s">
        <v>2414</v>
      </c>
      <c r="AU110" t="b">
        <f>IF(ckCodingTable[[#This Row],[ILN]]="N",SUBSTITUTE(AT109," ","")&lt;&gt;SUBSTITUTE(ckCodingTable[[#This Row],[prop_titl_txt]]," ",""), FALSE)</f>
        <v>0</v>
      </c>
      <c r="AV110">
        <v>0</v>
      </c>
      <c r="AW110" s="124">
        <v>499434</v>
      </c>
      <c r="AX110" s="124">
        <v>499434</v>
      </c>
      <c r="AY110" s="124"/>
      <c r="AZ110" s="124"/>
      <c r="BA110" s="124"/>
      <c r="BB110" s="124"/>
      <c r="BC110">
        <v>5</v>
      </c>
      <c r="BD110">
        <v>5</v>
      </c>
      <c r="BE110">
        <v>0.8</v>
      </c>
      <c r="BH110">
        <v>0</v>
      </c>
      <c r="BI110">
        <v>0</v>
      </c>
      <c r="BJ110">
        <v>0</v>
      </c>
      <c r="BK110">
        <v>0</v>
      </c>
      <c r="BL110" t="s">
        <v>2415</v>
      </c>
    </row>
    <row r="111" spans="1:64">
      <c r="A111" s="30"/>
      <c r="B111" s="30">
        <v>42935.599305555559</v>
      </c>
      <c r="C111" t="s">
        <v>242</v>
      </c>
      <c r="D111" t="s">
        <v>741</v>
      </c>
      <c r="E111" t="s">
        <v>528</v>
      </c>
      <c r="F111" t="s">
        <v>172</v>
      </c>
      <c r="G111" t="s">
        <v>170</v>
      </c>
      <c r="H111" s="21" t="s">
        <v>94</v>
      </c>
      <c r="I111" s="86">
        <v>1</v>
      </c>
      <c r="J111" s="86">
        <v>0</v>
      </c>
      <c r="K111" t="s">
        <v>743</v>
      </c>
      <c r="L111" t="s">
        <v>543</v>
      </c>
      <c r="M111" t="s">
        <v>257</v>
      </c>
      <c r="N111" t="str">
        <f>IF(SUM(ckCodingTable[[#This Row],[NfmlPIs]:[NnonWhtAsnPIs]])&gt;0,"WMD","")</f>
        <v/>
      </c>
      <c r="O111" t="b">
        <f>_xlfn.XOR(IFERROR(MATCH(ckCodingTable[[#This Row],[st_code]],EpscorTable[],0)&gt;0,FALSE),IFERROR(FIND("9150",ckCodingTable[[#This Row],[propPRCs]])&gt;0,FALSE))</f>
        <v>0</v>
      </c>
      <c r="P111" s="21" t="b">
        <f>_xlfn.XOR(ckCodingTable[[#This Row],[wmd]]&lt;&gt;"",IFERROR(FIND("9102",ckCodingTable[[#This Row],[propPRCs]])&gt;0,FALSE))</f>
        <v>0</v>
      </c>
      <c r="Q111" t="s">
        <v>744</v>
      </c>
      <c r="S111" s="108">
        <f>S110+(ckCodingTable[[#This Row],[ILN]]&lt;"M")</f>
        <v>87</v>
      </c>
      <c r="T111" s="21" t="s">
        <v>96</v>
      </c>
      <c r="U111" t="s">
        <v>1713</v>
      </c>
      <c r="V111" s="7" t="str">
        <f>HYPERLINK("https://www.ejacket.nsf.gov/ej/showProposal.do?ID="&amp;ckCodingTable[[#This Row],[prop_id]],"eJ")</f>
        <v>eJ</v>
      </c>
      <c r="W111" t="s">
        <v>742</v>
      </c>
      <c r="X111" t="s">
        <v>1713</v>
      </c>
      <c r="Y111" t="s">
        <v>1714</v>
      </c>
      <c r="Z111" t="s">
        <v>2416</v>
      </c>
      <c r="AA111" t="s">
        <v>2417</v>
      </c>
      <c r="AB111" s="113" t="str">
        <f>HYPERLINK("mailto:"&amp;ckCodingTable[[#This Row],[email]]&amp;"&amp;subject=Your NSF Proposal:  "&amp;ckCodingTable[[#This Row],[Div]]&amp;" "&amp;ckCodingTable[[#This Row],[prop_id]], ckCodingTable[[#This Row],[email]])</f>
        <v>jullman@ccs.neu.edu</v>
      </c>
      <c r="AC111" s="30">
        <v>43282</v>
      </c>
      <c r="AD111">
        <v>60</v>
      </c>
      <c r="AE111">
        <v>1</v>
      </c>
      <c r="AG111" s="122">
        <v>1</v>
      </c>
      <c r="AH111" t="s">
        <v>2418</v>
      </c>
      <c r="AI111" s="26">
        <v>8.5</v>
      </c>
      <c r="AJ111" s="22">
        <v>43059.227083333331</v>
      </c>
      <c r="AL111">
        <v>4</v>
      </c>
      <c r="AN111" s="122">
        <v>4</v>
      </c>
      <c r="AO111" s="122"/>
      <c r="AP111" s="122"/>
      <c r="AQ111" s="122"/>
      <c r="AR111" s="123" t="str">
        <f>HYPERLINK("https://www.ejacket.nsf.gov/ej/showProposal.do?ID="&amp;ckCodingTable[[#This Row],[prop_id]],"eJ")</f>
        <v>eJ</v>
      </c>
      <c r="AS111" t="s">
        <v>173</v>
      </c>
      <c r="AT111" t="s">
        <v>2419</v>
      </c>
      <c r="AU111" t="b">
        <f>IF(ckCodingTable[[#This Row],[ILN]]="N",SUBSTITUTE(AT110," ","")&lt;&gt;SUBSTITUTE(ckCodingTable[[#This Row],[prop_titl_txt]]," ",""), FALSE)</f>
        <v>0</v>
      </c>
      <c r="AV111">
        <v>0</v>
      </c>
      <c r="AW111" s="124">
        <v>545883</v>
      </c>
      <c r="AX111" s="124">
        <v>545883</v>
      </c>
      <c r="AY111" s="124"/>
      <c r="AZ111" s="124">
        <v>15928</v>
      </c>
      <c r="BA111" s="124"/>
      <c r="BB111" s="124"/>
      <c r="BC111">
        <v>5</v>
      </c>
      <c r="BD111">
        <v>5</v>
      </c>
      <c r="BE111">
        <v>5</v>
      </c>
      <c r="BH111">
        <v>0</v>
      </c>
      <c r="BI111">
        <v>0</v>
      </c>
      <c r="BJ111">
        <v>0</v>
      </c>
      <c r="BK111">
        <v>0</v>
      </c>
      <c r="BL111" t="s">
        <v>2420</v>
      </c>
    </row>
    <row r="112" spans="1:64">
      <c r="A112" s="30"/>
      <c r="B112" s="30">
        <v>42935.603472222225</v>
      </c>
      <c r="C112" t="s">
        <v>242</v>
      </c>
      <c r="D112" t="s">
        <v>741</v>
      </c>
      <c r="E112" t="s">
        <v>528</v>
      </c>
      <c r="F112" t="s">
        <v>172</v>
      </c>
      <c r="G112" t="s">
        <v>170</v>
      </c>
      <c r="H112" s="21" t="s">
        <v>94</v>
      </c>
      <c r="I112" s="86">
        <v>1</v>
      </c>
      <c r="J112" s="86">
        <v>0</v>
      </c>
      <c r="K112" t="s">
        <v>743</v>
      </c>
      <c r="L112" t="s">
        <v>543</v>
      </c>
      <c r="M112" t="s">
        <v>2207</v>
      </c>
      <c r="N112" t="str">
        <f>IF(SUM(ckCodingTable[[#This Row],[NfmlPIs]:[NnonWhtAsnPIs]])&gt;0,"WMD","")</f>
        <v/>
      </c>
      <c r="O112" t="b">
        <f>_xlfn.XOR(IFERROR(MATCH(ckCodingTable[[#This Row],[st_code]],EpscorTable[],0)&gt;0,FALSE),IFERROR(FIND("9150",ckCodingTable[[#This Row],[propPRCs]])&gt;0,FALSE))</f>
        <v>0</v>
      </c>
      <c r="P112" s="21" t="b">
        <f>_xlfn.XOR(ckCodingTable[[#This Row],[wmd]]&lt;&gt;"",IFERROR(FIND("9102",ckCodingTable[[#This Row],[propPRCs]])&gt;0,FALSE))</f>
        <v>0</v>
      </c>
      <c r="Q112" t="s">
        <v>744</v>
      </c>
      <c r="S112" s="108">
        <f>S111+(ckCodingTable[[#This Row],[ILN]]&lt;"M")</f>
        <v>88</v>
      </c>
      <c r="T112" s="21" t="s">
        <v>96</v>
      </c>
      <c r="U112" t="s">
        <v>1721</v>
      </c>
      <c r="V112" s="7" t="str">
        <f>HYPERLINK("https://www.ejacket.nsf.gov/ej/showProposal.do?ID="&amp;ckCodingTable[[#This Row],[prop_id]],"eJ")</f>
        <v>eJ</v>
      </c>
      <c r="W112" t="s">
        <v>742</v>
      </c>
      <c r="X112" t="s">
        <v>1721</v>
      </c>
      <c r="Y112" t="s">
        <v>1722</v>
      </c>
      <c r="Z112" t="s">
        <v>2421</v>
      </c>
      <c r="AA112" t="s">
        <v>2283</v>
      </c>
      <c r="AB112" s="113" t="str">
        <f>HYPERLINK("mailto:"&amp;ckCodingTable[[#This Row],[email]]&amp;"&amp;subject=Your NSF Proposal:  "&amp;ckCodingTable[[#This Row],[Div]]&amp;" "&amp;ckCodingTable[[#This Row],[prop_id]], ckCodingTable[[#This Row],[email]])</f>
        <v>pranjal.iitm@gmail.com</v>
      </c>
      <c r="AC112" s="30">
        <v>43101</v>
      </c>
      <c r="AD112">
        <v>60</v>
      </c>
      <c r="AE112">
        <v>1</v>
      </c>
      <c r="AG112" s="122">
        <v>1</v>
      </c>
      <c r="AH112" t="s">
        <v>2422</v>
      </c>
      <c r="AI112" s="26">
        <v>5.5</v>
      </c>
      <c r="AJ112" s="22">
        <v>43060.010416666664</v>
      </c>
      <c r="AK112" s="22">
        <v>1</v>
      </c>
      <c r="AL112">
        <v>4</v>
      </c>
      <c r="AN112" s="122">
        <v>4</v>
      </c>
      <c r="AO112" s="122"/>
      <c r="AP112" s="122"/>
      <c r="AQ112" s="122"/>
      <c r="AR112" s="123" t="str">
        <f>HYPERLINK("https://www.ejacket.nsf.gov/ej/showProposal.do?ID="&amp;ckCodingTable[[#This Row],[prop_id]],"eJ")</f>
        <v>eJ</v>
      </c>
      <c r="AS112" t="s">
        <v>173</v>
      </c>
      <c r="AT112" t="s">
        <v>2423</v>
      </c>
      <c r="AU112" t="b">
        <f>IF(ckCodingTable[[#This Row],[ILN]]="N",SUBSTITUTE(AT111," ","")&lt;&gt;SUBSTITUTE(ckCodingTable[[#This Row],[prop_titl_txt]]," ",""), FALSE)</f>
        <v>0</v>
      </c>
      <c r="AV112">
        <v>0</v>
      </c>
      <c r="AW112" s="124">
        <v>695874</v>
      </c>
      <c r="AX112" s="124">
        <v>695874</v>
      </c>
      <c r="AY112" s="124"/>
      <c r="AZ112" s="124">
        <v>12875</v>
      </c>
      <c r="BA112" s="124"/>
      <c r="BB112" s="124"/>
      <c r="BC112">
        <v>5</v>
      </c>
      <c r="BD112">
        <v>5</v>
      </c>
      <c r="BE112">
        <v>5</v>
      </c>
      <c r="BH112">
        <v>0</v>
      </c>
      <c r="BI112">
        <v>0</v>
      </c>
      <c r="BJ112">
        <v>0</v>
      </c>
      <c r="BK112">
        <v>0</v>
      </c>
      <c r="BL112" t="s">
        <v>2424</v>
      </c>
    </row>
    <row r="113" spans="1:64">
      <c r="A113" s="30"/>
      <c r="B113" s="30">
        <v>42935.620138888888</v>
      </c>
      <c r="C113" t="s">
        <v>242</v>
      </c>
      <c r="D113" t="s">
        <v>741</v>
      </c>
      <c r="E113" t="s">
        <v>528</v>
      </c>
      <c r="F113" t="s">
        <v>172</v>
      </c>
      <c r="G113" t="s">
        <v>170</v>
      </c>
      <c r="H113" s="21" t="s">
        <v>94</v>
      </c>
      <c r="I113" s="86">
        <v>1</v>
      </c>
      <c r="J113" s="86">
        <v>0</v>
      </c>
      <c r="K113" t="s">
        <v>743</v>
      </c>
      <c r="L113" t="s">
        <v>1530</v>
      </c>
      <c r="M113" t="s">
        <v>257</v>
      </c>
      <c r="N113" t="str">
        <f>IF(SUM(ckCodingTable[[#This Row],[NfmlPIs]:[NnonWhtAsnPIs]])&gt;0,"WMD","")</f>
        <v/>
      </c>
      <c r="O113" t="b">
        <f>_xlfn.XOR(IFERROR(MATCH(ckCodingTable[[#This Row],[st_code]],EpscorTable[],0)&gt;0,FALSE),IFERROR(FIND("9150",ckCodingTable[[#This Row],[propPRCs]])&gt;0,FALSE))</f>
        <v>0</v>
      </c>
      <c r="P113" s="21" t="b">
        <f>_xlfn.XOR(ckCodingTable[[#This Row],[wmd]]&lt;&gt;"",IFERROR(FIND("9102",ckCodingTable[[#This Row],[propPRCs]])&gt;0,FALSE))</f>
        <v>0</v>
      </c>
      <c r="Q113" t="s">
        <v>744</v>
      </c>
      <c r="S113" s="108">
        <f>S112+(ckCodingTable[[#This Row],[ILN]]&lt;"M")</f>
        <v>89</v>
      </c>
      <c r="T113" s="21" t="s">
        <v>96</v>
      </c>
      <c r="U113" t="s">
        <v>1729</v>
      </c>
      <c r="V113" s="7" t="str">
        <f>HYPERLINK("https://www.ejacket.nsf.gov/ej/showProposal.do?ID="&amp;ckCodingTable[[#This Row],[prop_id]],"eJ")</f>
        <v>eJ</v>
      </c>
      <c r="W113" t="s">
        <v>742</v>
      </c>
      <c r="X113" t="s">
        <v>1729</v>
      </c>
      <c r="Y113" t="s">
        <v>1730</v>
      </c>
      <c r="Z113" t="s">
        <v>2425</v>
      </c>
      <c r="AA113" t="s">
        <v>2417</v>
      </c>
      <c r="AB113" s="113" t="str">
        <f>HYPERLINK("mailto:"&amp;ckCodingTable[[#This Row],[email]]&amp;"&amp;subject=Your NSF Proposal:  "&amp;ckCodingTable[[#This Row],[Div]]&amp;" "&amp;ckCodingTable[[#This Row],[prop_id]], ckCodingTable[[#This Row],[email]])</f>
        <v>hu.nguyen@neu.edu</v>
      </c>
      <c r="AC113" s="30">
        <v>43252</v>
      </c>
      <c r="AD113">
        <v>60</v>
      </c>
      <c r="AE113">
        <v>1</v>
      </c>
      <c r="AG113" s="122">
        <v>1</v>
      </c>
      <c r="AH113" t="s">
        <v>2426</v>
      </c>
      <c r="AI113" s="26">
        <v>7.5</v>
      </c>
      <c r="AJ113" s="22">
        <v>43059.929166666669</v>
      </c>
      <c r="AL113">
        <v>4</v>
      </c>
      <c r="AN113" s="122">
        <v>4</v>
      </c>
      <c r="AO113" s="122"/>
      <c r="AP113" s="122"/>
      <c r="AQ113" s="122"/>
      <c r="AR113" s="123" t="str">
        <f>HYPERLINK("https://www.ejacket.nsf.gov/ej/showProposal.do?ID="&amp;ckCodingTable[[#This Row],[prop_id]],"eJ")</f>
        <v>eJ</v>
      </c>
      <c r="AS113" t="s">
        <v>173</v>
      </c>
      <c r="AT113" t="s">
        <v>2427</v>
      </c>
      <c r="AU113" t="b">
        <f>IF(ckCodingTable[[#This Row],[ILN]]="N",SUBSTITUTE(AT112," ","")&lt;&gt;SUBSTITUTE(ckCodingTable[[#This Row],[prop_titl_txt]]," ",""), FALSE)</f>
        <v>0</v>
      </c>
      <c r="AV113">
        <v>0</v>
      </c>
      <c r="AW113" s="124">
        <v>551453</v>
      </c>
      <c r="AX113" s="124">
        <v>551453</v>
      </c>
      <c r="AY113" s="124"/>
      <c r="AZ113" s="124">
        <v>13273</v>
      </c>
      <c r="BA113" s="124"/>
      <c r="BB113" s="124"/>
      <c r="BC113">
        <v>5</v>
      </c>
      <c r="BD113">
        <v>5</v>
      </c>
      <c r="BE113">
        <v>5</v>
      </c>
      <c r="BH113">
        <v>0</v>
      </c>
      <c r="BI113">
        <v>0</v>
      </c>
      <c r="BJ113">
        <v>0</v>
      </c>
      <c r="BK113">
        <v>0</v>
      </c>
      <c r="BL113" t="s">
        <v>2428</v>
      </c>
    </row>
    <row r="114" spans="1:64">
      <c r="A114" s="30"/>
      <c r="B114" s="30">
        <v>42935.633333333331</v>
      </c>
      <c r="C114" t="s">
        <v>242</v>
      </c>
      <c r="D114" t="s">
        <v>741</v>
      </c>
      <c r="E114" t="s">
        <v>528</v>
      </c>
      <c r="F114" t="s">
        <v>172</v>
      </c>
      <c r="G114" t="s">
        <v>170</v>
      </c>
      <c r="H114" s="21" t="s">
        <v>94</v>
      </c>
      <c r="I114" s="86">
        <v>1</v>
      </c>
      <c r="J114" s="86">
        <v>0</v>
      </c>
      <c r="K114" t="s">
        <v>743</v>
      </c>
      <c r="L114" t="s">
        <v>540</v>
      </c>
      <c r="M114" t="s">
        <v>345</v>
      </c>
      <c r="N114" t="str">
        <f>IF(SUM(ckCodingTable[[#This Row],[NfmlPIs]:[NnonWhtAsnPIs]])&gt;0,"WMD","")</f>
        <v/>
      </c>
      <c r="O114" t="b">
        <f>_xlfn.XOR(IFERROR(MATCH(ckCodingTable[[#This Row],[st_code]],EpscorTable[],0)&gt;0,FALSE),IFERROR(FIND("9150",ckCodingTable[[#This Row],[propPRCs]])&gt;0,FALSE))</f>
        <v>0</v>
      </c>
      <c r="P114" s="21" t="b">
        <f>_xlfn.XOR(ckCodingTable[[#This Row],[wmd]]&lt;&gt;"",IFERROR(FIND("9102",ckCodingTable[[#This Row],[propPRCs]])&gt;0,FALSE))</f>
        <v>0</v>
      </c>
      <c r="Q114" t="s">
        <v>751</v>
      </c>
      <c r="S114" s="108">
        <f>S113+(ckCodingTable[[#This Row],[ILN]]&lt;"M")</f>
        <v>90</v>
      </c>
      <c r="T114" s="21" t="s">
        <v>96</v>
      </c>
      <c r="U114" t="s">
        <v>666</v>
      </c>
      <c r="V114" s="7" t="str">
        <f>HYPERLINK("https://www.ejacket.nsf.gov/ej/showProposal.do?ID="&amp;ckCodingTable[[#This Row],[prop_id]],"eJ")</f>
        <v>eJ</v>
      </c>
      <c r="W114" t="s">
        <v>742</v>
      </c>
      <c r="X114" t="s">
        <v>666</v>
      </c>
      <c r="Y114" t="s">
        <v>667</v>
      </c>
      <c r="Z114" t="s">
        <v>789</v>
      </c>
      <c r="AA114" t="s">
        <v>790</v>
      </c>
      <c r="AB114" s="113" t="str">
        <f>HYPERLINK("mailto:"&amp;ckCodingTable[[#This Row],[email]]&amp;"&amp;subject=Your NSF Proposal:  "&amp;ckCodingTable[[#This Row],[Div]]&amp;" "&amp;ckCodingTable[[#This Row],[prop_id]], ckCodingTable[[#This Row],[email]])</f>
        <v>Benjamin.Raichel@utdallas.edu</v>
      </c>
      <c r="AC114" s="30">
        <v>43344</v>
      </c>
      <c r="AD114">
        <v>60</v>
      </c>
      <c r="AE114">
        <v>1</v>
      </c>
      <c r="AG114" s="122">
        <v>1</v>
      </c>
      <c r="AH114" t="s">
        <v>791</v>
      </c>
      <c r="AI114" s="26">
        <v>7.5</v>
      </c>
      <c r="AJ114" s="22">
        <v>43030.181250000001</v>
      </c>
      <c r="AK114" s="22">
        <v>1</v>
      </c>
      <c r="AL114">
        <v>4</v>
      </c>
      <c r="AN114" s="122">
        <v>4</v>
      </c>
      <c r="AO114" s="122"/>
      <c r="AP114" s="122"/>
      <c r="AQ114" s="122"/>
      <c r="AR114" s="123" t="str">
        <f>HYPERLINK("https://www.ejacket.nsf.gov/ej/showProposal.do?ID="&amp;ckCodingTable[[#This Row],[prop_id]],"eJ")</f>
        <v>eJ</v>
      </c>
      <c r="AS114" t="s">
        <v>173</v>
      </c>
      <c r="AT114" t="s">
        <v>792</v>
      </c>
      <c r="AU114" t="b">
        <f>IF(ckCodingTable[[#This Row],[ILN]]="N",SUBSTITUTE(AT113," ","")&lt;&gt;SUBSTITUTE(ckCodingTable[[#This Row],[prop_titl_txt]]," ",""), FALSE)</f>
        <v>0</v>
      </c>
      <c r="AV114">
        <v>0</v>
      </c>
      <c r="AW114" s="124">
        <v>582785</v>
      </c>
      <c r="AX114" s="124">
        <v>582785</v>
      </c>
      <c r="AY114" s="124"/>
      <c r="AZ114" s="124">
        <v>7500</v>
      </c>
      <c r="BA114" s="124"/>
      <c r="BB114" s="124"/>
      <c r="BC114">
        <v>10</v>
      </c>
      <c r="BD114">
        <v>5</v>
      </c>
      <c r="BE114">
        <v>5</v>
      </c>
      <c r="BH114">
        <v>0</v>
      </c>
      <c r="BI114">
        <v>0</v>
      </c>
      <c r="BJ114">
        <v>0</v>
      </c>
      <c r="BK114">
        <v>0</v>
      </c>
      <c r="BL114" t="s">
        <v>793</v>
      </c>
    </row>
    <row r="115" spans="1:64">
      <c r="A115" s="30"/>
      <c r="B115" s="30">
        <v>42935.638888888891</v>
      </c>
      <c r="C115" t="s">
        <v>242</v>
      </c>
      <c r="D115" t="s">
        <v>741</v>
      </c>
      <c r="E115" t="s">
        <v>528</v>
      </c>
      <c r="F115" t="s">
        <v>172</v>
      </c>
      <c r="G115" t="s">
        <v>170</v>
      </c>
      <c r="H115" s="21" t="s">
        <v>94</v>
      </c>
      <c r="I115" s="86">
        <v>1</v>
      </c>
      <c r="J115" s="86">
        <v>0</v>
      </c>
      <c r="K115" t="s">
        <v>743</v>
      </c>
      <c r="L115" t="s">
        <v>1530</v>
      </c>
      <c r="M115" t="s">
        <v>2107</v>
      </c>
      <c r="N115" t="str">
        <f>IF(SUM(ckCodingTable[[#This Row],[NfmlPIs]:[NnonWhtAsnPIs]])&gt;0,"WMD","")</f>
        <v/>
      </c>
      <c r="O115" t="b">
        <f>_xlfn.XOR(IFERROR(MATCH(ckCodingTable[[#This Row],[st_code]],EpscorTable[],0)&gt;0,FALSE),IFERROR(FIND("9150",ckCodingTable[[#This Row],[propPRCs]])&gt;0,FALSE))</f>
        <v>0</v>
      </c>
      <c r="P115" s="21" t="b">
        <f>_xlfn.XOR(ckCodingTable[[#This Row],[wmd]]&lt;&gt;"",IFERROR(FIND("9102",ckCodingTable[[#This Row],[propPRCs]])&gt;0,FALSE))</f>
        <v>0</v>
      </c>
      <c r="Q115" t="s">
        <v>779</v>
      </c>
      <c r="S115" s="108">
        <f>S114+(ckCodingTable[[#This Row],[ILN]]&lt;"M")</f>
        <v>91</v>
      </c>
      <c r="T115" s="21" t="s">
        <v>96</v>
      </c>
      <c r="U115" t="s">
        <v>1740</v>
      </c>
      <c r="V115" s="7" t="str">
        <f>HYPERLINK("https://www.ejacket.nsf.gov/ej/showProposal.do?ID="&amp;ckCodingTable[[#This Row],[prop_id]],"eJ")</f>
        <v>eJ</v>
      </c>
      <c r="W115" t="s">
        <v>742</v>
      </c>
      <c r="X115" t="s">
        <v>1740</v>
      </c>
      <c r="Y115" t="s">
        <v>1741</v>
      </c>
      <c r="Z115" t="s">
        <v>2429</v>
      </c>
      <c r="AA115" t="s">
        <v>2127</v>
      </c>
      <c r="AB115" s="113" t="str">
        <f>HYPERLINK("mailto:"&amp;ckCodingTable[[#This Row],[email]]&amp;"&amp;subject=Your NSF Proposal:  "&amp;ckCodingTable[[#This Row],[Div]]&amp;" "&amp;ckCodingTable[[#This Row],[prop_id]], ckCodingTable[[#This Row],[email]])</f>
        <v>haeupler@cs.cmu.edu</v>
      </c>
      <c r="AC115" s="30">
        <v>43101</v>
      </c>
      <c r="AD115">
        <v>60</v>
      </c>
      <c r="AE115">
        <v>2</v>
      </c>
      <c r="AG115" s="122">
        <v>1</v>
      </c>
      <c r="AH115" t="s">
        <v>2430</v>
      </c>
      <c r="AI115" s="26">
        <v>7.75</v>
      </c>
      <c r="AJ115" s="22">
        <v>43059.921527777777</v>
      </c>
      <c r="AK115" s="22">
        <v>1</v>
      </c>
      <c r="AL115">
        <v>8</v>
      </c>
      <c r="AN115" s="122">
        <v>4</v>
      </c>
      <c r="AO115" s="122"/>
      <c r="AP115" s="122"/>
      <c r="AQ115" s="122"/>
      <c r="AR115" s="123" t="str">
        <f>HYPERLINK("https://www.ejacket.nsf.gov/ej/showProposal.do?ID="&amp;ckCodingTable[[#This Row],[prop_id]],"eJ")</f>
        <v>eJ</v>
      </c>
      <c r="AS115" t="s">
        <v>173</v>
      </c>
      <c r="AT115" t="s">
        <v>2431</v>
      </c>
      <c r="AU115" t="b">
        <f>IF(ckCodingTable[[#This Row],[ILN]]="N",SUBSTITUTE(AT114," ","")&lt;&gt;SUBSTITUTE(ckCodingTable[[#This Row],[prop_titl_txt]]," ",""), FALSE)</f>
        <v>0</v>
      </c>
      <c r="AV115">
        <v>0</v>
      </c>
      <c r="AW115" s="124">
        <v>613868</v>
      </c>
      <c r="AX115" s="124">
        <v>613868</v>
      </c>
      <c r="AY115" s="124"/>
      <c r="AZ115" s="124"/>
      <c r="BA115" s="124"/>
      <c r="BB115" s="124"/>
      <c r="BC115">
        <v>5</v>
      </c>
      <c r="BD115">
        <v>5</v>
      </c>
      <c r="BE115">
        <v>1.25</v>
      </c>
      <c r="BH115">
        <v>0</v>
      </c>
      <c r="BI115">
        <v>0</v>
      </c>
      <c r="BJ115">
        <v>0</v>
      </c>
      <c r="BK115">
        <v>0</v>
      </c>
      <c r="BL115" t="s">
        <v>2432</v>
      </c>
    </row>
    <row r="116" spans="1:64">
      <c r="A116" s="30"/>
      <c r="B116" s="30">
        <v>42935.654166666667</v>
      </c>
      <c r="C116" t="s">
        <v>242</v>
      </c>
      <c r="D116" t="s">
        <v>741</v>
      </c>
      <c r="E116" t="s">
        <v>528</v>
      </c>
      <c r="F116" t="s">
        <v>172</v>
      </c>
      <c r="G116" t="s">
        <v>170</v>
      </c>
      <c r="H116" s="21" t="s">
        <v>94</v>
      </c>
      <c r="I116" s="86">
        <v>1</v>
      </c>
      <c r="J116" s="86">
        <v>0</v>
      </c>
      <c r="K116" t="s">
        <v>743</v>
      </c>
      <c r="L116" t="s">
        <v>543</v>
      </c>
      <c r="M116" t="s">
        <v>347</v>
      </c>
      <c r="N116" t="str">
        <f>IF(SUM(ckCodingTable[[#This Row],[NfmlPIs]:[NnonWhtAsnPIs]])&gt;0,"WMD","")</f>
        <v/>
      </c>
      <c r="O116" t="b">
        <f>_xlfn.XOR(IFERROR(MATCH(ckCodingTable[[#This Row],[st_code]],EpscorTable[],0)&gt;0,FALSE),IFERROR(FIND("9150",ckCodingTable[[#This Row],[propPRCs]])&gt;0,FALSE))</f>
        <v>0</v>
      </c>
      <c r="P116" s="21" t="b">
        <f>_xlfn.XOR(ckCodingTable[[#This Row],[wmd]]&lt;&gt;"",IFERROR(FIND("9102",ckCodingTable[[#This Row],[propPRCs]])&gt;0,FALSE))</f>
        <v>0</v>
      </c>
      <c r="Q116" t="s">
        <v>2365</v>
      </c>
      <c r="S116" s="108">
        <f>S115+(ckCodingTable[[#This Row],[ILN]]&lt;"M")</f>
        <v>92</v>
      </c>
      <c r="T116" s="21" t="s">
        <v>96</v>
      </c>
      <c r="U116" t="s">
        <v>1753</v>
      </c>
      <c r="V116" s="7" t="str">
        <f>HYPERLINK("https://www.ejacket.nsf.gov/ej/showProposal.do?ID="&amp;ckCodingTable[[#This Row],[prop_id]],"eJ")</f>
        <v>eJ</v>
      </c>
      <c r="W116" t="s">
        <v>742</v>
      </c>
      <c r="X116" t="s">
        <v>1753</v>
      </c>
      <c r="Y116" t="s">
        <v>1754</v>
      </c>
      <c r="Z116" t="s">
        <v>2433</v>
      </c>
      <c r="AA116" t="s">
        <v>2434</v>
      </c>
      <c r="AB116" s="113" t="str">
        <f>HYPERLINK("mailto:"&amp;ckCodingTable[[#This Row],[email]]&amp;"&amp;subject=Your NSF Proposal:  "&amp;ckCodingTable[[#This Row],[Div]]&amp;" "&amp;ckCodingTable[[#This Row],[prop_id]], ckCodingTable[[#This Row],[email]])</f>
        <v>nxie@cs.fiu.edu</v>
      </c>
      <c r="AC116" s="30">
        <v>43221</v>
      </c>
      <c r="AD116">
        <v>60</v>
      </c>
      <c r="AE116">
        <v>1</v>
      </c>
      <c r="AG116" s="122">
        <v>1</v>
      </c>
      <c r="AH116" t="s">
        <v>2435</v>
      </c>
      <c r="AI116" s="26">
        <v>3.5</v>
      </c>
      <c r="AJ116" s="22">
        <v>43059.477083333331</v>
      </c>
      <c r="AK116" s="22">
        <v>1</v>
      </c>
      <c r="AL116">
        <v>4</v>
      </c>
      <c r="AN116" s="122">
        <v>4</v>
      </c>
      <c r="AO116" s="122"/>
      <c r="AP116" s="122"/>
      <c r="AQ116" s="122"/>
      <c r="AR116" s="123" t="str">
        <f>HYPERLINK("https://www.ejacket.nsf.gov/ej/showProposal.do?ID="&amp;ckCodingTable[[#This Row],[prop_id]],"eJ")</f>
        <v>eJ</v>
      </c>
      <c r="AS116" t="s">
        <v>173</v>
      </c>
      <c r="AT116" t="s">
        <v>2436</v>
      </c>
      <c r="AU116" t="b">
        <f>IF(ckCodingTable[[#This Row],[ILN]]="N",SUBSTITUTE(AT115," ","")&lt;&gt;SUBSTITUTE(ckCodingTable[[#This Row],[prop_titl_txt]]," ",""), FALSE)</f>
        <v>0</v>
      </c>
      <c r="AV116">
        <v>0</v>
      </c>
      <c r="AW116" s="124">
        <v>520820</v>
      </c>
      <c r="AX116" s="124">
        <v>520820</v>
      </c>
      <c r="AY116" s="124"/>
      <c r="AZ116" s="124">
        <v>15000</v>
      </c>
      <c r="BA116" s="124"/>
      <c r="BB116" s="124"/>
      <c r="BC116">
        <v>5</v>
      </c>
      <c r="BD116">
        <v>5</v>
      </c>
      <c r="BE116">
        <v>7.5</v>
      </c>
      <c r="BH116">
        <v>0</v>
      </c>
      <c r="BI116">
        <v>0</v>
      </c>
      <c r="BJ116">
        <v>0</v>
      </c>
      <c r="BK116">
        <v>0</v>
      </c>
      <c r="BL116" t="s">
        <v>2437</v>
      </c>
    </row>
    <row r="117" spans="1:64">
      <c r="A117" s="30"/>
      <c r="B117" s="30">
        <v>42935.679166666669</v>
      </c>
      <c r="C117" t="s">
        <v>242</v>
      </c>
      <c r="D117" t="s">
        <v>741</v>
      </c>
      <c r="E117" t="s">
        <v>528</v>
      </c>
      <c r="F117" t="s">
        <v>172</v>
      </c>
      <c r="G117" t="s">
        <v>170</v>
      </c>
      <c r="H117" s="21" t="s">
        <v>94</v>
      </c>
      <c r="I117" s="86">
        <v>1</v>
      </c>
      <c r="J117" s="86">
        <v>0</v>
      </c>
      <c r="K117" t="s">
        <v>743</v>
      </c>
      <c r="L117" t="s">
        <v>543</v>
      </c>
      <c r="M117" t="s">
        <v>345</v>
      </c>
      <c r="N117" t="str">
        <f>IF(SUM(ckCodingTable[[#This Row],[NfmlPIs]:[NnonWhtAsnPIs]])&gt;0,"WMD","")</f>
        <v/>
      </c>
      <c r="O117" t="b">
        <f>_xlfn.XOR(IFERROR(MATCH(ckCodingTable[[#This Row],[st_code]],EpscorTable[],0)&gt;0,FALSE),IFERROR(FIND("9150",ckCodingTable[[#This Row],[propPRCs]])&gt;0,FALSE))</f>
        <v>0</v>
      </c>
      <c r="P117" s="21" t="b">
        <f>_xlfn.XOR(ckCodingTable[[#This Row],[wmd]]&lt;&gt;"",IFERROR(FIND("9102",ckCodingTable[[#This Row],[propPRCs]])&gt;0,FALSE))</f>
        <v>0</v>
      </c>
      <c r="Q117" t="s">
        <v>744</v>
      </c>
      <c r="S117" s="108">
        <f>S116+(ckCodingTable[[#This Row],[ILN]]&lt;"M")</f>
        <v>93</v>
      </c>
      <c r="T117" s="21" t="s">
        <v>96</v>
      </c>
      <c r="U117" t="s">
        <v>1764</v>
      </c>
      <c r="V117" s="7" t="str">
        <f>HYPERLINK("https://www.ejacket.nsf.gov/ej/showProposal.do?ID="&amp;ckCodingTable[[#This Row],[prop_id]],"eJ")</f>
        <v>eJ</v>
      </c>
      <c r="W117" t="s">
        <v>742</v>
      </c>
      <c r="X117" t="s">
        <v>1764</v>
      </c>
      <c r="Y117" t="s">
        <v>1765</v>
      </c>
      <c r="Z117" t="s">
        <v>2438</v>
      </c>
      <c r="AA117" t="s">
        <v>799</v>
      </c>
      <c r="AB117" s="113" t="str">
        <f>HYPERLINK("mailto:"&amp;ckCodingTable[[#This Row],[email]]&amp;"&amp;subject=Your NSF Proposal:  "&amp;ckCodingTable[[#This Row],[Div]]&amp;" "&amp;ckCodingTable[[#This Row],[prop_id]], ckCodingTable[[#This Row],[email]])</f>
        <v>ecprice@cs.utexas.edu</v>
      </c>
      <c r="AC117" s="30">
        <v>43344</v>
      </c>
      <c r="AD117">
        <v>60</v>
      </c>
      <c r="AE117">
        <v>1</v>
      </c>
      <c r="AG117" s="122">
        <v>1</v>
      </c>
      <c r="AH117" t="s">
        <v>791</v>
      </c>
      <c r="AI117" s="26">
        <v>7.5</v>
      </c>
      <c r="AJ117" s="22">
        <v>43060.310416666667</v>
      </c>
      <c r="AK117" s="22">
        <v>2</v>
      </c>
      <c r="AL117">
        <v>4</v>
      </c>
      <c r="AN117" s="122">
        <v>4</v>
      </c>
      <c r="AO117" s="122"/>
      <c r="AP117" s="122"/>
      <c r="AQ117" s="122"/>
      <c r="AR117" s="123" t="str">
        <f>HYPERLINK("https://www.ejacket.nsf.gov/ej/showProposal.do?ID="&amp;ckCodingTable[[#This Row],[prop_id]],"eJ")</f>
        <v>eJ</v>
      </c>
      <c r="AS117" t="s">
        <v>173</v>
      </c>
      <c r="AT117" t="s">
        <v>2439</v>
      </c>
      <c r="AU117" t="b">
        <f>IF(ckCodingTable[[#This Row],[ILN]]="N",SUBSTITUTE(AT116," ","")&lt;&gt;SUBSTITUTE(ckCodingTable[[#This Row],[prop_titl_txt]]," ",""), FALSE)</f>
        <v>0</v>
      </c>
      <c r="AV117">
        <v>0</v>
      </c>
      <c r="AW117" s="124">
        <v>499575</v>
      </c>
      <c r="AX117" s="124">
        <v>499575</v>
      </c>
      <c r="AY117" s="124"/>
      <c r="AZ117" s="124"/>
      <c r="BA117" s="124"/>
      <c r="BB117" s="124"/>
      <c r="BC117">
        <v>5</v>
      </c>
      <c r="BD117">
        <v>5</v>
      </c>
      <c r="BE117">
        <v>5</v>
      </c>
      <c r="BH117">
        <v>0</v>
      </c>
      <c r="BI117">
        <v>0</v>
      </c>
      <c r="BJ117">
        <v>0</v>
      </c>
      <c r="BK117">
        <v>0</v>
      </c>
      <c r="BL117" t="s">
        <v>2440</v>
      </c>
    </row>
    <row r="118" spans="1:64">
      <c r="A118" s="30"/>
      <c r="B118" s="30">
        <v>42935.680555555555</v>
      </c>
      <c r="C118" t="s">
        <v>242</v>
      </c>
      <c r="D118" t="s">
        <v>741</v>
      </c>
      <c r="E118" t="s">
        <v>528</v>
      </c>
      <c r="F118" t="s">
        <v>172</v>
      </c>
      <c r="G118" t="s">
        <v>170</v>
      </c>
      <c r="H118" s="21" t="s">
        <v>94</v>
      </c>
      <c r="I118" s="86">
        <v>1</v>
      </c>
      <c r="J118" s="86">
        <v>0</v>
      </c>
      <c r="K118" t="s">
        <v>743</v>
      </c>
      <c r="L118" t="s">
        <v>540</v>
      </c>
      <c r="M118" t="s">
        <v>345</v>
      </c>
      <c r="N118" t="str">
        <f>IF(SUM(ckCodingTable[[#This Row],[NfmlPIs]:[NnonWhtAsnPIs]])&gt;0,"WMD","")</f>
        <v/>
      </c>
      <c r="O118" t="b">
        <f>_xlfn.XOR(IFERROR(MATCH(ckCodingTable[[#This Row],[st_code]],EpscorTable[],0)&gt;0,FALSE),IFERROR(FIND("9150",ckCodingTable[[#This Row],[propPRCs]])&gt;0,FALSE))</f>
        <v>0</v>
      </c>
      <c r="P118" s="21" t="b">
        <f>_xlfn.XOR(ckCodingTable[[#This Row],[wmd]]&lt;&gt;"",IFERROR(FIND("9102",ckCodingTable[[#This Row],[propPRCs]])&gt;0,FALSE))</f>
        <v>0</v>
      </c>
      <c r="Q118" t="s">
        <v>751</v>
      </c>
      <c r="S118" s="108">
        <f>S117+(ckCodingTable[[#This Row],[ILN]]&lt;"M")</f>
        <v>94</v>
      </c>
      <c r="T118" s="21" t="s">
        <v>96</v>
      </c>
      <c r="U118" t="s">
        <v>678</v>
      </c>
      <c r="V118" s="7" t="str">
        <f>HYPERLINK("https://www.ejacket.nsf.gov/ej/showProposal.do?ID="&amp;ckCodingTable[[#This Row],[prop_id]],"eJ")</f>
        <v>eJ</v>
      </c>
      <c r="W118" t="s">
        <v>742</v>
      </c>
      <c r="X118" t="s">
        <v>678</v>
      </c>
      <c r="Y118" t="s">
        <v>679</v>
      </c>
      <c r="Z118" t="s">
        <v>794</v>
      </c>
      <c r="AA118" t="s">
        <v>795</v>
      </c>
      <c r="AB118" s="113" t="str">
        <f>HYPERLINK("mailto:"&amp;ckCodingTable[[#This Row],[email]]&amp;"&amp;subject=Your NSF Proposal:  "&amp;ckCodingTable[[#This Row],[Div]]&amp;" "&amp;ckCodingTable[[#This Row],[prop_id]], ckCodingTable[[#This Row],[email]])</f>
        <v>MATTHEW.GIBSON@UTSA.EDU</v>
      </c>
      <c r="AC118" s="30">
        <v>43132</v>
      </c>
      <c r="AD118">
        <v>60</v>
      </c>
      <c r="AE118">
        <v>1</v>
      </c>
      <c r="AG118" s="122">
        <v>1</v>
      </c>
      <c r="AH118" t="s">
        <v>346</v>
      </c>
      <c r="AI118" s="26">
        <v>4.75</v>
      </c>
      <c r="AJ118" s="22">
        <v>43030.177777777775</v>
      </c>
      <c r="AL118">
        <v>4</v>
      </c>
      <c r="AN118" s="122">
        <v>4</v>
      </c>
      <c r="AO118" s="122"/>
      <c r="AP118" s="122"/>
      <c r="AQ118" s="122"/>
      <c r="AR118" s="123" t="str">
        <f>HYPERLINK("https://www.ejacket.nsf.gov/ej/showProposal.do?ID="&amp;ckCodingTable[[#This Row],[prop_id]],"eJ")</f>
        <v>eJ</v>
      </c>
      <c r="AS118" t="s">
        <v>173</v>
      </c>
      <c r="AT118" t="s">
        <v>796</v>
      </c>
      <c r="AU118" t="b">
        <f>IF(ckCodingTable[[#This Row],[ILN]]="N",SUBSTITUTE(AT117," ","")&lt;&gt;SUBSTITUTE(ckCodingTable[[#This Row],[prop_titl_txt]]," ",""), FALSE)</f>
        <v>0</v>
      </c>
      <c r="AV118">
        <v>0</v>
      </c>
      <c r="AW118" s="124">
        <v>415497</v>
      </c>
      <c r="AX118" s="124">
        <v>415497</v>
      </c>
      <c r="AY118" s="124"/>
      <c r="AZ118" s="124">
        <v>12250</v>
      </c>
      <c r="BA118" s="124"/>
      <c r="BB118" s="124">
        <v>16000</v>
      </c>
      <c r="BC118">
        <v>5</v>
      </c>
      <c r="BD118">
        <v>5</v>
      </c>
      <c r="BE118">
        <v>5</v>
      </c>
      <c r="BH118">
        <v>0</v>
      </c>
      <c r="BI118">
        <v>0</v>
      </c>
      <c r="BJ118">
        <v>0</v>
      </c>
      <c r="BK118">
        <v>0</v>
      </c>
      <c r="BL118" t="s">
        <v>797</v>
      </c>
    </row>
    <row r="119" spans="1:64">
      <c r="A119" s="30"/>
      <c r="B119" s="30">
        <v>42935.680555555555</v>
      </c>
      <c r="C119" t="s">
        <v>242</v>
      </c>
      <c r="D119" t="s">
        <v>741</v>
      </c>
      <c r="E119" t="s">
        <v>528</v>
      </c>
      <c r="F119" t="s">
        <v>172</v>
      </c>
      <c r="G119" t="s">
        <v>170</v>
      </c>
      <c r="H119" s="21" t="s">
        <v>94</v>
      </c>
      <c r="I119" s="86">
        <v>1</v>
      </c>
      <c r="J119" s="86">
        <v>0</v>
      </c>
      <c r="K119" t="s">
        <v>743</v>
      </c>
      <c r="L119" t="s">
        <v>543</v>
      </c>
      <c r="M119" t="s">
        <v>2207</v>
      </c>
      <c r="N119" t="str">
        <f>IF(SUM(ckCodingTable[[#This Row],[NfmlPIs]:[NnonWhtAsnPIs]])&gt;0,"WMD","")</f>
        <v/>
      </c>
      <c r="O119" t="b">
        <f>_xlfn.XOR(IFERROR(MATCH(ckCodingTable[[#This Row],[st_code]],EpscorTable[],0)&gt;0,FALSE),IFERROR(FIND("9150",ckCodingTable[[#This Row],[propPRCs]])&gt;0,FALSE))</f>
        <v>0</v>
      </c>
      <c r="P119" s="21" t="b">
        <f>_xlfn.XOR(ckCodingTable[[#This Row],[wmd]]&lt;&gt;"",IFERROR(FIND("9102",ckCodingTable[[#This Row],[propPRCs]])&gt;0,FALSE))</f>
        <v>0</v>
      </c>
      <c r="Q119" t="s">
        <v>744</v>
      </c>
      <c r="S119" s="108">
        <f>S118+(ckCodingTable[[#This Row],[ILN]]&lt;"M")</f>
        <v>95</v>
      </c>
      <c r="T119" s="21" t="s">
        <v>96</v>
      </c>
      <c r="U119" t="s">
        <v>1772</v>
      </c>
      <c r="V119" s="7" t="str">
        <f>HYPERLINK("https://www.ejacket.nsf.gov/ej/showProposal.do?ID="&amp;ckCodingTable[[#This Row],[prop_id]],"eJ")</f>
        <v>eJ</v>
      </c>
      <c r="W119" t="s">
        <v>742</v>
      </c>
      <c r="X119" t="s">
        <v>1772</v>
      </c>
      <c r="Y119" t="s">
        <v>1773</v>
      </c>
      <c r="Z119" t="s">
        <v>2441</v>
      </c>
      <c r="AA119" t="s">
        <v>2442</v>
      </c>
      <c r="AB119" s="113" t="str">
        <f>HYPERLINK("mailto:"&amp;ckCodingTable[[#This Row],[email]]&amp;"&amp;subject=Your NSF Proposal:  "&amp;ckCodingTable[[#This Row],[Div]]&amp;" "&amp;ckCodingTable[[#This Row],[prop_id]], ckCodingTable[[#This Row],[email]])</f>
        <v>periklis.research@gmail.com</v>
      </c>
      <c r="AC119" s="30">
        <v>43252</v>
      </c>
      <c r="AD119">
        <v>60</v>
      </c>
      <c r="AE119">
        <v>1</v>
      </c>
      <c r="AG119" s="122">
        <v>1</v>
      </c>
      <c r="AH119" t="s">
        <v>2443</v>
      </c>
      <c r="AI119" s="26">
        <v>4.5</v>
      </c>
      <c r="AJ119" s="22">
        <v>43059.227777777778</v>
      </c>
      <c r="AL119">
        <v>4</v>
      </c>
      <c r="AN119" s="122">
        <v>4</v>
      </c>
      <c r="AO119" s="122"/>
      <c r="AP119" s="122"/>
      <c r="AQ119" s="122"/>
      <c r="AR119" s="123" t="str">
        <f>HYPERLINK("https://www.ejacket.nsf.gov/ej/showProposal.do?ID="&amp;ckCodingTable[[#This Row],[prop_id]],"eJ")</f>
        <v>eJ</v>
      </c>
      <c r="AS119" t="s">
        <v>173</v>
      </c>
      <c r="AT119" t="s">
        <v>2444</v>
      </c>
      <c r="AU119" t="b">
        <f>IF(ckCodingTable[[#This Row],[ILN]]="N",SUBSTITUTE(AT118," ","")&lt;&gt;SUBSTITUTE(ckCodingTable[[#This Row],[prop_titl_txt]]," ",""), FALSE)</f>
        <v>0</v>
      </c>
      <c r="AV119">
        <v>0</v>
      </c>
      <c r="AW119" s="124">
        <v>667571</v>
      </c>
      <c r="AX119" s="124">
        <v>667571</v>
      </c>
      <c r="AY119" s="124"/>
      <c r="AZ119" s="124">
        <v>25000</v>
      </c>
      <c r="BA119" s="124"/>
      <c r="BB119" s="124"/>
      <c r="BC119">
        <v>5</v>
      </c>
      <c r="BD119">
        <v>5</v>
      </c>
      <c r="BE119">
        <v>5</v>
      </c>
      <c r="BH119">
        <v>0</v>
      </c>
      <c r="BI119">
        <v>0</v>
      </c>
      <c r="BJ119">
        <v>0</v>
      </c>
      <c r="BK119">
        <v>0</v>
      </c>
      <c r="BL119" t="s">
        <v>2445</v>
      </c>
    </row>
    <row r="120" spans="1:64">
      <c r="A120" s="30"/>
      <c r="B120" s="30">
        <v>42935.68472222222</v>
      </c>
      <c r="C120" t="s">
        <v>242</v>
      </c>
      <c r="D120" t="s">
        <v>741</v>
      </c>
      <c r="E120" t="s">
        <v>528</v>
      </c>
      <c r="F120" t="s">
        <v>172</v>
      </c>
      <c r="G120" t="s">
        <v>170</v>
      </c>
      <c r="H120" s="21" t="s">
        <v>94</v>
      </c>
      <c r="I120" s="86">
        <v>1</v>
      </c>
      <c r="J120" s="86">
        <v>0</v>
      </c>
      <c r="K120" t="s">
        <v>743</v>
      </c>
      <c r="L120" t="s">
        <v>543</v>
      </c>
      <c r="M120" t="s">
        <v>2107</v>
      </c>
      <c r="N120" t="str">
        <f>IF(SUM(ckCodingTable[[#This Row],[NfmlPIs]:[NnonWhtAsnPIs]])&gt;0,"WMD","")</f>
        <v/>
      </c>
      <c r="O120" t="b">
        <f>_xlfn.XOR(IFERROR(MATCH(ckCodingTable[[#This Row],[st_code]],EpscorTable[],0)&gt;0,FALSE),IFERROR(FIND("9150",ckCodingTable[[#This Row],[propPRCs]])&gt;0,FALSE))</f>
        <v>0</v>
      </c>
      <c r="P120" s="21" t="b">
        <f>_xlfn.XOR(ckCodingTable[[#This Row],[wmd]]&lt;&gt;"",IFERROR(FIND("9102",ckCodingTable[[#This Row],[propPRCs]])&gt;0,FALSE))</f>
        <v>0</v>
      </c>
      <c r="Q120" t="s">
        <v>2399</v>
      </c>
      <c r="S120" s="108">
        <f>S119+(ckCodingTable[[#This Row],[ILN]]&lt;"M")</f>
        <v>96</v>
      </c>
      <c r="T120" s="21" t="s">
        <v>96</v>
      </c>
      <c r="U120" t="s">
        <v>1780</v>
      </c>
      <c r="V120" s="7" t="str">
        <f>HYPERLINK("https://www.ejacket.nsf.gov/ej/showProposal.do?ID="&amp;ckCodingTable[[#This Row],[prop_id]],"eJ")</f>
        <v>eJ</v>
      </c>
      <c r="W120" t="s">
        <v>742</v>
      </c>
      <c r="X120" t="s">
        <v>1780</v>
      </c>
      <c r="Y120" t="s">
        <v>1781</v>
      </c>
      <c r="Z120" t="s">
        <v>2446</v>
      </c>
      <c r="AA120" t="s">
        <v>2447</v>
      </c>
      <c r="AB120" s="113" t="str">
        <f>HYPERLINK("mailto:"&amp;ckCodingTable[[#This Row],[email]]&amp;"&amp;subject=Your NSF Proposal:  "&amp;ckCodingTable[[#This Row],[Div]]&amp;" "&amp;ckCodingTable[[#This Row],[prop_id]], ckCodingTable[[#This Row],[email]])</f>
        <v>gkatz@drexel.edu</v>
      </c>
      <c r="AC120" s="30">
        <v>43132</v>
      </c>
      <c r="AD120">
        <v>60</v>
      </c>
      <c r="AE120">
        <v>1</v>
      </c>
      <c r="AG120" s="122">
        <v>1</v>
      </c>
      <c r="AH120" t="s">
        <v>338</v>
      </c>
      <c r="AI120" s="26">
        <v>6.5</v>
      </c>
      <c r="AJ120" s="22">
        <v>43059.229166666664</v>
      </c>
      <c r="AL120">
        <v>4</v>
      </c>
      <c r="AN120" s="122">
        <v>4</v>
      </c>
      <c r="AO120" s="122"/>
      <c r="AP120" s="122"/>
      <c r="AQ120" s="122"/>
      <c r="AR120" s="123" t="str">
        <f>HYPERLINK("https://www.ejacket.nsf.gov/ej/showProposal.do?ID="&amp;ckCodingTable[[#This Row],[prop_id]],"eJ")</f>
        <v>eJ</v>
      </c>
      <c r="AS120" t="s">
        <v>173</v>
      </c>
      <c r="AT120" t="s">
        <v>2448</v>
      </c>
      <c r="AU120" t="b">
        <f>IF(ckCodingTable[[#This Row],[ILN]]="N",SUBSTITUTE(AT119," ","")&lt;&gt;SUBSTITUTE(ckCodingTable[[#This Row],[prop_titl_txt]]," ",""), FALSE)</f>
        <v>0</v>
      </c>
      <c r="AV120">
        <v>0</v>
      </c>
      <c r="AW120" s="124">
        <v>559983</v>
      </c>
      <c r="AX120" s="124">
        <v>559983</v>
      </c>
      <c r="AY120" s="124"/>
      <c r="AZ120" s="124">
        <v>10000</v>
      </c>
      <c r="BA120" s="124"/>
      <c r="BB120" s="124"/>
      <c r="BC120">
        <v>5</v>
      </c>
      <c r="BD120">
        <v>5</v>
      </c>
      <c r="BE120">
        <v>5</v>
      </c>
      <c r="BH120">
        <v>0</v>
      </c>
      <c r="BI120">
        <v>0</v>
      </c>
      <c r="BJ120">
        <v>0</v>
      </c>
      <c r="BK120">
        <v>0</v>
      </c>
      <c r="BL120" t="s">
        <v>2449</v>
      </c>
    </row>
    <row r="121" spans="1:64">
      <c r="A121" s="30"/>
      <c r="B121" s="30">
        <v>42935.69027777778</v>
      </c>
      <c r="C121" t="s">
        <v>242</v>
      </c>
      <c r="D121" t="s">
        <v>741</v>
      </c>
      <c r="E121" t="s">
        <v>528</v>
      </c>
      <c r="F121" t="s">
        <v>172</v>
      </c>
      <c r="G121" t="s">
        <v>170</v>
      </c>
      <c r="H121" s="21" t="s">
        <v>94</v>
      </c>
      <c r="I121" s="86">
        <v>1</v>
      </c>
      <c r="J121" s="86">
        <v>0</v>
      </c>
      <c r="K121" t="s">
        <v>743</v>
      </c>
      <c r="L121" t="s">
        <v>540</v>
      </c>
      <c r="M121" t="s">
        <v>345</v>
      </c>
      <c r="N121" t="str">
        <f>IF(SUM(ckCodingTable[[#This Row],[NfmlPIs]:[NnonWhtAsnPIs]])&gt;0,"WMD","")</f>
        <v/>
      </c>
      <c r="O121" t="b">
        <f>_xlfn.XOR(IFERROR(MATCH(ckCodingTable[[#This Row],[st_code]],EpscorTable[],0)&gt;0,FALSE),IFERROR(FIND("9150",ckCodingTable[[#This Row],[propPRCs]])&gt;0,FALSE))</f>
        <v>0</v>
      </c>
      <c r="P121" s="21" t="b">
        <f>_xlfn.XOR(ckCodingTable[[#This Row],[wmd]]&lt;&gt;"",IFERROR(FIND("9102",ckCodingTable[[#This Row],[propPRCs]])&gt;0,FALSE))</f>
        <v>0</v>
      </c>
      <c r="Q121" t="s">
        <v>751</v>
      </c>
      <c r="S121" s="108">
        <f>S120+(ckCodingTable[[#This Row],[ILN]]&lt;"M")</f>
        <v>97</v>
      </c>
      <c r="T121" s="21" t="s">
        <v>96</v>
      </c>
      <c r="U121" t="s">
        <v>686</v>
      </c>
      <c r="V121" s="7" t="str">
        <f>HYPERLINK("https://www.ejacket.nsf.gov/ej/showProposal.do?ID="&amp;ckCodingTable[[#This Row],[prop_id]],"eJ")</f>
        <v>eJ</v>
      </c>
      <c r="W121" t="s">
        <v>742</v>
      </c>
      <c r="X121" t="s">
        <v>686</v>
      </c>
      <c r="Y121" t="s">
        <v>687</v>
      </c>
      <c r="Z121" t="s">
        <v>798</v>
      </c>
      <c r="AA121" t="s">
        <v>799</v>
      </c>
      <c r="AB121" s="113" t="str">
        <f>HYPERLINK("mailto:"&amp;ckCodingTable[[#This Row],[email]]&amp;"&amp;subject=Your NSF Proposal:  "&amp;ckCodingTable[[#This Row],[Div]]&amp;" "&amp;ckCodingTable[[#This Row],[prop_id]], ckCodingTable[[#This Row],[email]])</f>
        <v>evouga@cs.utexas.edu</v>
      </c>
      <c r="AC121" s="30">
        <v>43344</v>
      </c>
      <c r="AD121">
        <v>60</v>
      </c>
      <c r="AE121">
        <v>1</v>
      </c>
      <c r="AG121" s="122">
        <v>1</v>
      </c>
      <c r="AH121" t="s">
        <v>338</v>
      </c>
      <c r="AI121" s="26">
        <v>6.5</v>
      </c>
      <c r="AJ121" s="22">
        <v>43031.392361111109</v>
      </c>
      <c r="AL121">
        <v>4</v>
      </c>
      <c r="AN121" s="122">
        <v>4</v>
      </c>
      <c r="AO121" s="122"/>
      <c r="AP121" s="122"/>
      <c r="AQ121" s="122"/>
      <c r="AR121" s="123" t="str">
        <f>HYPERLINK("https://www.ejacket.nsf.gov/ej/showProposal.do?ID="&amp;ckCodingTable[[#This Row],[prop_id]],"eJ")</f>
        <v>eJ</v>
      </c>
      <c r="AS121" t="s">
        <v>173</v>
      </c>
      <c r="AT121" t="s">
        <v>800</v>
      </c>
      <c r="AU121" t="b">
        <f>IF(ckCodingTable[[#This Row],[ILN]]="N",SUBSTITUTE(AT120," ","")&lt;&gt;SUBSTITUTE(ckCodingTable[[#This Row],[prop_titl_txt]]," ",""), FALSE)</f>
        <v>0</v>
      </c>
      <c r="AV121">
        <v>0</v>
      </c>
      <c r="AW121" s="124">
        <v>523537</v>
      </c>
      <c r="AX121" s="124">
        <v>523537</v>
      </c>
      <c r="AY121" s="124"/>
      <c r="AZ121" s="124">
        <v>15000</v>
      </c>
      <c r="BA121" s="124"/>
      <c r="BB121" s="124"/>
      <c r="BC121">
        <v>7</v>
      </c>
      <c r="BD121">
        <v>5</v>
      </c>
      <c r="BE121">
        <v>2</v>
      </c>
      <c r="BH121">
        <v>0</v>
      </c>
      <c r="BI121">
        <v>0</v>
      </c>
      <c r="BJ121">
        <v>0</v>
      </c>
      <c r="BK121">
        <v>0</v>
      </c>
      <c r="BL121" t="s">
        <v>801</v>
      </c>
    </row>
    <row r="122" spans="1:64">
      <c r="A122" s="30"/>
      <c r="B122" s="30">
        <v>42935.696527777778</v>
      </c>
      <c r="C122" t="s">
        <v>242</v>
      </c>
      <c r="D122" t="s">
        <v>741</v>
      </c>
      <c r="E122" t="s">
        <v>528</v>
      </c>
      <c r="F122" t="s">
        <v>172</v>
      </c>
      <c r="G122" t="s">
        <v>170</v>
      </c>
      <c r="H122" s="21" t="s">
        <v>94</v>
      </c>
      <c r="I122" s="86">
        <v>1</v>
      </c>
      <c r="J122" s="86">
        <v>0</v>
      </c>
      <c r="K122" t="s">
        <v>743</v>
      </c>
      <c r="L122" t="s">
        <v>540</v>
      </c>
      <c r="M122" t="s">
        <v>802</v>
      </c>
      <c r="N122" t="str">
        <f>IF(SUM(ckCodingTable[[#This Row],[NfmlPIs]:[NnonWhtAsnPIs]])&gt;0,"WMD","")</f>
        <v/>
      </c>
      <c r="O122" t="b">
        <f>_xlfn.XOR(IFERROR(MATCH(ckCodingTable[[#This Row],[st_code]],EpscorTable[],0)&gt;0,FALSE),IFERROR(FIND("9150",ckCodingTable[[#This Row],[propPRCs]])&gt;0,FALSE))</f>
        <v>0</v>
      </c>
      <c r="P122" s="21" t="b">
        <f>_xlfn.XOR(ckCodingTable[[#This Row],[wmd]]&lt;&gt;"",IFERROR(FIND("9102",ckCodingTable[[#This Row],[propPRCs]])&gt;0,FALSE))</f>
        <v>0</v>
      </c>
      <c r="Q122" t="s">
        <v>751</v>
      </c>
      <c r="S122" s="108">
        <f>S121+(ckCodingTable[[#This Row],[ILN]]&lt;"M")</f>
        <v>98</v>
      </c>
      <c r="T122" s="21" t="s">
        <v>96</v>
      </c>
      <c r="U122" t="s">
        <v>695</v>
      </c>
      <c r="V122" s="7" t="str">
        <f>HYPERLINK("https://www.ejacket.nsf.gov/ej/showProposal.do?ID="&amp;ckCodingTable[[#This Row],[prop_id]],"eJ")</f>
        <v>eJ</v>
      </c>
      <c r="W122" t="s">
        <v>742</v>
      </c>
      <c r="X122" t="s">
        <v>695</v>
      </c>
      <c r="Y122" t="s">
        <v>696</v>
      </c>
      <c r="Z122" t="s">
        <v>803</v>
      </c>
      <c r="AA122" t="s">
        <v>804</v>
      </c>
      <c r="AB122" s="113" t="str">
        <f>HYPERLINK("mailto:"&amp;ckCodingTable[[#This Row],[email]]&amp;"&amp;subject=Your NSF Proposal:  "&amp;ckCodingTable[[#This Row],[Div]]&amp;" "&amp;ckCodingTable[[#This Row],[prop_id]], ckCodingTable[[#This Row],[email]])</f>
        <v>nayyeria@eecs.oregonstate.edu</v>
      </c>
      <c r="AC122" s="30">
        <v>43344</v>
      </c>
      <c r="AD122">
        <v>60</v>
      </c>
      <c r="AE122">
        <v>1</v>
      </c>
      <c r="AG122" s="122">
        <v>1</v>
      </c>
      <c r="AH122" t="s">
        <v>805</v>
      </c>
      <c r="AI122" s="26">
        <v>6.75</v>
      </c>
      <c r="AJ122" s="22">
        <v>43031.69027777778</v>
      </c>
      <c r="AK122" s="22">
        <v>2</v>
      </c>
      <c r="AL122">
        <v>4</v>
      </c>
      <c r="AN122" s="122">
        <v>4</v>
      </c>
      <c r="AO122" s="122"/>
      <c r="AP122" s="122"/>
      <c r="AQ122" s="122"/>
      <c r="AR122" s="123" t="str">
        <f>HYPERLINK("https://www.ejacket.nsf.gov/ej/showProposal.do?ID="&amp;ckCodingTable[[#This Row],[prop_id]],"eJ")</f>
        <v>eJ</v>
      </c>
      <c r="AS122" t="s">
        <v>173</v>
      </c>
      <c r="AT122" t="s">
        <v>806</v>
      </c>
      <c r="AU122" t="b">
        <f>IF(ckCodingTable[[#This Row],[ILN]]="N",SUBSTITUTE(AT121," ","")&lt;&gt;SUBSTITUTE(ckCodingTable[[#This Row],[prop_titl_txt]]," ",""), FALSE)</f>
        <v>0</v>
      </c>
      <c r="AV122">
        <v>0</v>
      </c>
      <c r="AW122" s="124">
        <v>607459</v>
      </c>
      <c r="AX122" s="124">
        <v>607459</v>
      </c>
      <c r="AY122" s="124"/>
      <c r="AZ122" s="124">
        <v>23133</v>
      </c>
      <c r="BA122" s="124"/>
      <c r="BB122" s="124">
        <v>5500</v>
      </c>
      <c r="BC122">
        <v>5</v>
      </c>
      <c r="BD122">
        <v>5</v>
      </c>
      <c r="BE122">
        <v>4.5</v>
      </c>
      <c r="BH122">
        <v>0</v>
      </c>
      <c r="BI122">
        <v>0</v>
      </c>
      <c r="BJ122">
        <v>0</v>
      </c>
      <c r="BK122">
        <v>0</v>
      </c>
      <c r="BL122" t="s">
        <v>807</v>
      </c>
    </row>
    <row r="123" spans="1:64">
      <c r="A123" s="30"/>
      <c r="B123" s="30">
        <v>42935.70416666667</v>
      </c>
      <c r="C123" t="s">
        <v>242</v>
      </c>
      <c r="D123" t="s">
        <v>741</v>
      </c>
      <c r="E123" t="s">
        <v>528</v>
      </c>
      <c r="F123" t="s">
        <v>172</v>
      </c>
      <c r="G123" t="s">
        <v>170</v>
      </c>
      <c r="H123" s="21" t="s">
        <v>94</v>
      </c>
      <c r="I123" s="86">
        <v>1</v>
      </c>
      <c r="J123" s="86">
        <v>0</v>
      </c>
      <c r="K123" t="s">
        <v>743</v>
      </c>
      <c r="L123" t="s">
        <v>1530</v>
      </c>
      <c r="M123" t="s">
        <v>112</v>
      </c>
      <c r="N123" t="str">
        <f>IF(SUM(ckCodingTable[[#This Row],[NfmlPIs]:[NnonWhtAsnPIs]])&gt;0,"WMD","")</f>
        <v/>
      </c>
      <c r="O123" t="b">
        <f>_xlfn.XOR(IFERROR(MATCH(ckCodingTable[[#This Row],[st_code]],EpscorTable[],0)&gt;0,FALSE),IFERROR(FIND("9150",ckCodingTable[[#This Row],[propPRCs]])&gt;0,FALSE))</f>
        <v>0</v>
      </c>
      <c r="P123" s="21" t="b">
        <f>_xlfn.XOR(ckCodingTable[[#This Row],[wmd]]&lt;&gt;"",IFERROR(FIND("9102",ckCodingTable[[#This Row],[propPRCs]])&gt;0,FALSE))</f>
        <v>0</v>
      </c>
      <c r="Q123" t="s">
        <v>2450</v>
      </c>
      <c r="S123" s="108">
        <f>S122+(ckCodingTable[[#This Row],[ILN]]&lt;"M")</f>
        <v>99</v>
      </c>
      <c r="T123" s="21" t="s">
        <v>96</v>
      </c>
      <c r="U123" t="s">
        <v>1788</v>
      </c>
      <c r="V123" s="7" t="str">
        <f>HYPERLINK("https://www.ejacket.nsf.gov/ej/showProposal.do?ID="&amp;ckCodingTable[[#This Row],[prop_id]],"eJ")</f>
        <v>eJ</v>
      </c>
      <c r="W123" t="s">
        <v>742</v>
      </c>
      <c r="X123" t="s">
        <v>1788</v>
      </c>
      <c r="Y123" t="s">
        <v>1789</v>
      </c>
      <c r="Z123" t="s">
        <v>2451</v>
      </c>
      <c r="AA123" t="s">
        <v>2452</v>
      </c>
      <c r="AB123" s="113" t="str">
        <f>HYPERLINK("mailto:"&amp;ckCodingTable[[#This Row],[email]]&amp;"&amp;subject=Your NSF Proposal:  "&amp;ckCodingTable[[#This Row],[Div]]&amp;" "&amp;ckCodingTable[[#This Row],[prop_id]], ckCodingTable[[#This Row],[email]])</f>
        <v>maxwelly@outlook.com</v>
      </c>
      <c r="AC123" s="30">
        <v>43344</v>
      </c>
      <c r="AD123">
        <v>60</v>
      </c>
      <c r="AE123">
        <v>1</v>
      </c>
      <c r="AG123" s="122">
        <v>1</v>
      </c>
      <c r="AH123" t="s">
        <v>2453</v>
      </c>
      <c r="AI123" s="26">
        <v>5.75</v>
      </c>
      <c r="AJ123" s="22">
        <v>43059.229861111111</v>
      </c>
      <c r="AL123">
        <v>4</v>
      </c>
      <c r="AN123" s="122">
        <v>4</v>
      </c>
      <c r="AO123" s="122"/>
      <c r="AP123" s="122"/>
      <c r="AQ123" s="122"/>
      <c r="AR123" s="123" t="str">
        <f>HYPERLINK("https://www.ejacket.nsf.gov/ej/showProposal.do?ID="&amp;ckCodingTable[[#This Row],[prop_id]],"eJ")</f>
        <v>eJ</v>
      </c>
      <c r="AS123" t="s">
        <v>173</v>
      </c>
      <c r="AT123" t="s">
        <v>2454</v>
      </c>
      <c r="AU123" t="b">
        <f>IF(ckCodingTable[[#This Row],[ILN]]="N",SUBSTITUTE(AT122," ","")&lt;&gt;SUBSTITUTE(ckCodingTable[[#This Row],[prop_titl_txt]]," ",""), FALSE)</f>
        <v>0</v>
      </c>
      <c r="AV123">
        <v>0</v>
      </c>
      <c r="AW123" s="124">
        <v>400000</v>
      </c>
      <c r="AX123" s="124">
        <v>400000</v>
      </c>
      <c r="AY123" s="124"/>
      <c r="AZ123" s="124">
        <v>15000</v>
      </c>
      <c r="BA123" s="124"/>
      <c r="BB123" s="124"/>
      <c r="BC123">
        <v>5</v>
      </c>
      <c r="BD123">
        <v>5</v>
      </c>
      <c r="BE123">
        <v>2.5</v>
      </c>
      <c r="BH123">
        <v>0</v>
      </c>
      <c r="BI123">
        <v>0</v>
      </c>
      <c r="BJ123">
        <v>0</v>
      </c>
      <c r="BK123">
        <v>0</v>
      </c>
      <c r="BL123" t="s">
        <v>2455</v>
      </c>
    </row>
    <row r="124" spans="1:64">
      <c r="A124" s="30"/>
      <c r="B124" s="30">
        <v>42935.717361111114</v>
      </c>
      <c r="C124" t="s">
        <v>242</v>
      </c>
      <c r="D124" t="s">
        <v>741</v>
      </c>
      <c r="E124" t="s">
        <v>528</v>
      </c>
      <c r="F124" t="s">
        <v>172</v>
      </c>
      <c r="G124" t="s">
        <v>170</v>
      </c>
      <c r="H124" s="21" t="s">
        <v>94</v>
      </c>
      <c r="I124" s="86">
        <v>1</v>
      </c>
      <c r="J124" s="86">
        <v>0</v>
      </c>
      <c r="K124" t="s">
        <v>743</v>
      </c>
      <c r="L124" t="s">
        <v>543</v>
      </c>
      <c r="M124" t="s">
        <v>2192</v>
      </c>
      <c r="N124" t="str">
        <f>IF(SUM(ckCodingTable[[#This Row],[NfmlPIs]:[NnonWhtAsnPIs]])&gt;0,"WMD","")</f>
        <v/>
      </c>
      <c r="O124" t="b">
        <f>_xlfn.XOR(IFERROR(MATCH(ckCodingTable[[#This Row],[st_code]],EpscorTable[],0)&gt;0,FALSE),IFERROR(FIND("9150",ckCodingTable[[#This Row],[propPRCs]])&gt;0,FALSE))</f>
        <v>0</v>
      </c>
      <c r="P124" s="21" t="b">
        <f>_xlfn.XOR(ckCodingTable[[#This Row],[wmd]]&lt;&gt;"",IFERROR(FIND("9102",ckCodingTable[[#This Row],[propPRCs]])&gt;0,FALSE))</f>
        <v>0</v>
      </c>
      <c r="Q124" t="s">
        <v>2365</v>
      </c>
      <c r="S124" s="108">
        <f>S123+(ckCodingTable[[#This Row],[ILN]]&lt;"M")</f>
        <v>100</v>
      </c>
      <c r="T124" s="21" t="s">
        <v>96</v>
      </c>
      <c r="U124" t="s">
        <v>1796</v>
      </c>
      <c r="V124" s="7" t="str">
        <f>HYPERLINK("https://www.ejacket.nsf.gov/ej/showProposal.do?ID="&amp;ckCodingTable[[#This Row],[prop_id]],"eJ")</f>
        <v>eJ</v>
      </c>
      <c r="W124" t="s">
        <v>742</v>
      </c>
      <c r="X124" t="s">
        <v>1796</v>
      </c>
      <c r="Y124" t="s">
        <v>1797</v>
      </c>
      <c r="Z124" t="s">
        <v>2456</v>
      </c>
      <c r="AA124" t="s">
        <v>2193</v>
      </c>
      <c r="AB124" s="113" t="str">
        <f>HYPERLINK("mailto:"&amp;ckCodingTable[[#This Row],[email]]&amp;"&amp;subject=Your NSF Proposal:  "&amp;ckCodingTable[[#This Row],[Div]]&amp;" "&amp;ckCodingTable[[#This Row],[prop_id]], ckCodingTable[[#This Row],[email]])</f>
        <v>bhaskara@cs.utah.edu</v>
      </c>
      <c r="AC124" s="30">
        <v>43313</v>
      </c>
      <c r="AD124">
        <v>60</v>
      </c>
      <c r="AE124">
        <v>1</v>
      </c>
      <c r="AG124" s="122">
        <v>1</v>
      </c>
      <c r="AH124" t="s">
        <v>338</v>
      </c>
      <c r="AI124" s="26">
        <v>6.5</v>
      </c>
      <c r="AJ124" s="22">
        <v>43058.995833333334</v>
      </c>
      <c r="AL124">
        <v>4</v>
      </c>
      <c r="AN124" s="122">
        <v>4</v>
      </c>
      <c r="AO124" s="122"/>
      <c r="AP124" s="122"/>
      <c r="AQ124" s="122"/>
      <c r="AR124" s="123" t="str">
        <f>HYPERLINK("https://www.ejacket.nsf.gov/ej/showProposal.do?ID="&amp;ckCodingTable[[#This Row],[prop_id]],"eJ")</f>
        <v>eJ</v>
      </c>
      <c r="AS124" t="s">
        <v>173</v>
      </c>
      <c r="AT124" t="s">
        <v>2457</v>
      </c>
      <c r="AU124" t="b">
        <f>IF(ckCodingTable[[#This Row],[ILN]]="N",SUBSTITUTE(AT123," ","")&lt;&gt;SUBSTITUTE(ckCodingTable[[#This Row],[prop_titl_txt]]," ",""), FALSE)</f>
        <v>0</v>
      </c>
      <c r="AV124">
        <v>0</v>
      </c>
      <c r="AW124" s="124">
        <v>536841</v>
      </c>
      <c r="AX124" s="124">
        <v>536841</v>
      </c>
      <c r="AY124" s="124"/>
      <c r="AZ124" s="124">
        <v>27500</v>
      </c>
      <c r="BA124" s="124"/>
      <c r="BB124" s="124">
        <v>20000</v>
      </c>
      <c r="BC124">
        <v>5</v>
      </c>
      <c r="BD124">
        <v>5</v>
      </c>
      <c r="BE124">
        <v>5</v>
      </c>
      <c r="BH124">
        <v>0</v>
      </c>
      <c r="BI124">
        <v>0</v>
      </c>
      <c r="BJ124">
        <v>0</v>
      </c>
      <c r="BK124">
        <v>0</v>
      </c>
      <c r="BL124" t="s">
        <v>2458</v>
      </c>
    </row>
    <row r="125" spans="1:64">
      <c r="A125" s="30"/>
      <c r="B125" s="30">
        <v>42935.723611111112</v>
      </c>
      <c r="C125" t="s">
        <v>242</v>
      </c>
      <c r="D125" t="s">
        <v>741</v>
      </c>
      <c r="E125" t="s">
        <v>528</v>
      </c>
      <c r="F125" t="s">
        <v>172</v>
      </c>
      <c r="G125" t="s">
        <v>170</v>
      </c>
      <c r="H125" s="21" t="s">
        <v>94</v>
      </c>
      <c r="I125" s="86">
        <v>1</v>
      </c>
      <c r="J125" s="86">
        <v>0</v>
      </c>
      <c r="K125" t="s">
        <v>743</v>
      </c>
      <c r="L125" t="s">
        <v>543</v>
      </c>
      <c r="M125" t="s">
        <v>1988</v>
      </c>
      <c r="N125" t="str">
        <f>IF(SUM(ckCodingTable[[#This Row],[NfmlPIs]:[NnonWhtAsnPIs]])&gt;0,"WMD","")</f>
        <v>WMD</v>
      </c>
      <c r="O125" t="b">
        <f>_xlfn.XOR(IFERROR(MATCH(ckCodingTable[[#This Row],[st_code]],EpscorTable[],0)&gt;0,FALSE),IFERROR(FIND("9150",ckCodingTable[[#This Row],[propPRCs]])&gt;0,FALSE))</f>
        <v>1</v>
      </c>
      <c r="P125" s="21" t="b">
        <f>_xlfn.XOR(ckCodingTable[[#This Row],[wmd]]&lt;&gt;"",IFERROR(FIND("9102",ckCodingTable[[#This Row],[propPRCs]])&gt;0,FALSE))</f>
        <v>1</v>
      </c>
      <c r="Q125" t="s">
        <v>2459</v>
      </c>
      <c r="S125" s="108">
        <f>S124+(ckCodingTable[[#This Row],[ILN]]&lt;"M")</f>
        <v>101</v>
      </c>
      <c r="T125" s="21" t="s">
        <v>96</v>
      </c>
      <c r="U125" t="s">
        <v>1804</v>
      </c>
      <c r="V125" s="7" t="str">
        <f>HYPERLINK("https://www.ejacket.nsf.gov/ej/showProposal.do?ID="&amp;ckCodingTable[[#This Row],[prop_id]],"eJ")</f>
        <v>eJ</v>
      </c>
      <c r="W125" t="s">
        <v>742</v>
      </c>
      <c r="X125" t="s">
        <v>1804</v>
      </c>
      <c r="Y125" t="s">
        <v>1805</v>
      </c>
      <c r="Z125" t="s">
        <v>2460</v>
      </c>
      <c r="AA125" t="s">
        <v>2203</v>
      </c>
      <c r="AB125" s="113" t="str">
        <f>HYPERLINK("mailto:"&amp;ckCodingTable[[#This Row],[email]]&amp;"&amp;subject=Your NSF Proposal:  "&amp;ckCodingTable[[#This Row],[Div]]&amp;" "&amp;ckCodingTable[[#This Row],[prop_id]], ckCodingTable[[#This Row],[email]])</f>
        <v>brittany@cs.montana.edu</v>
      </c>
      <c r="AC125" s="30">
        <v>43344</v>
      </c>
      <c r="AD125">
        <v>60</v>
      </c>
      <c r="AE125">
        <v>1</v>
      </c>
      <c r="AG125" s="122">
        <v>1</v>
      </c>
      <c r="AH125" t="s">
        <v>338</v>
      </c>
      <c r="AI125" s="26">
        <v>6.5</v>
      </c>
      <c r="AJ125" s="22">
        <v>43031.43472222222</v>
      </c>
      <c r="AL125">
        <v>4</v>
      </c>
      <c r="AN125" s="122">
        <v>4</v>
      </c>
      <c r="AO125" s="122"/>
      <c r="AP125" s="122"/>
      <c r="AQ125" s="122"/>
      <c r="AR125" s="123" t="str">
        <f>HYPERLINK("https://www.ejacket.nsf.gov/ej/showProposal.do?ID="&amp;ckCodingTable[[#This Row],[prop_id]],"eJ")</f>
        <v>eJ</v>
      </c>
      <c r="AS125" t="s">
        <v>173</v>
      </c>
      <c r="AT125" t="s">
        <v>2461</v>
      </c>
      <c r="AU125" t="b">
        <f>IF(ckCodingTable[[#This Row],[ILN]]="N",SUBSTITUTE(AT124," ","")&lt;&gt;SUBSTITUTE(ckCodingTable[[#This Row],[prop_titl_txt]]," ",""), FALSE)</f>
        <v>0</v>
      </c>
      <c r="AV125">
        <v>0</v>
      </c>
      <c r="AW125" s="124">
        <v>552355</v>
      </c>
      <c r="AX125" s="124">
        <v>552355</v>
      </c>
      <c r="AY125" s="124"/>
      <c r="AZ125" s="124">
        <v>13000</v>
      </c>
      <c r="BA125" s="124"/>
      <c r="BB125" s="124"/>
      <c r="BC125">
        <v>12</v>
      </c>
      <c r="BD125">
        <v>5</v>
      </c>
      <c r="BE125">
        <v>5</v>
      </c>
      <c r="BH125">
        <v>2</v>
      </c>
      <c r="BI125">
        <v>0</v>
      </c>
      <c r="BJ125">
        <v>0</v>
      </c>
      <c r="BK125">
        <v>0</v>
      </c>
      <c r="BL125" t="s">
        <v>2462</v>
      </c>
    </row>
    <row r="126" spans="1:64">
      <c r="A126" s="30"/>
      <c r="B126" s="30">
        <v>42935.851388888892</v>
      </c>
      <c r="C126" t="s">
        <v>242</v>
      </c>
      <c r="D126" t="s">
        <v>741</v>
      </c>
      <c r="E126" t="s">
        <v>528</v>
      </c>
      <c r="F126" t="s">
        <v>172</v>
      </c>
      <c r="G126" t="s">
        <v>170</v>
      </c>
      <c r="H126" s="21" t="s">
        <v>94</v>
      </c>
      <c r="I126" s="86">
        <v>1</v>
      </c>
      <c r="J126" s="86">
        <v>0</v>
      </c>
      <c r="K126" t="s">
        <v>743</v>
      </c>
      <c r="L126" t="s">
        <v>1530</v>
      </c>
      <c r="M126" t="s">
        <v>101</v>
      </c>
      <c r="N126" t="str">
        <f>IF(SUM(ckCodingTable[[#This Row],[NfmlPIs]:[NnonWhtAsnPIs]])&gt;0,"WMD","")</f>
        <v/>
      </c>
      <c r="O126" t="b">
        <f>_xlfn.XOR(IFERROR(MATCH(ckCodingTable[[#This Row],[st_code]],EpscorTable[],0)&gt;0,FALSE),IFERROR(FIND("9150",ckCodingTable[[#This Row],[propPRCs]])&gt;0,FALSE))</f>
        <v>0</v>
      </c>
      <c r="P126" s="21" t="b">
        <f>_xlfn.XOR(ckCodingTable[[#This Row],[wmd]]&lt;&gt;"",IFERROR(FIND("9102",ckCodingTable[[#This Row],[propPRCs]])&gt;0,FALSE))</f>
        <v>0</v>
      </c>
      <c r="Q126" t="s">
        <v>2450</v>
      </c>
      <c r="S126" s="108">
        <f>S125+(ckCodingTable[[#This Row],[ILN]]&lt;"M")</f>
        <v>102</v>
      </c>
      <c r="T126" s="21" t="s">
        <v>96</v>
      </c>
      <c r="U126" t="s">
        <v>1812</v>
      </c>
      <c r="V126" s="7" t="str">
        <f>HYPERLINK("https://www.ejacket.nsf.gov/ej/showProposal.do?ID="&amp;ckCodingTable[[#This Row],[prop_id]],"eJ")</f>
        <v>eJ</v>
      </c>
      <c r="W126" t="s">
        <v>742</v>
      </c>
      <c r="X126" t="s">
        <v>1812</v>
      </c>
      <c r="Y126" t="s">
        <v>1813</v>
      </c>
      <c r="Z126" t="s">
        <v>2463</v>
      </c>
      <c r="AA126" t="s">
        <v>2464</v>
      </c>
      <c r="AB126" s="113" t="str">
        <f>HYPERLINK("mailto:"&amp;ckCodingTable[[#This Row],[email]]&amp;"&amp;subject=Your NSF Proposal:  "&amp;ckCodingTable[[#This Row],[Div]]&amp;" "&amp;ckCodingTable[[#This Row],[prop_id]], ckCodingTable[[#This Row],[email]])</f>
        <v>nodari@hawaii.edu</v>
      </c>
      <c r="AC126" s="30">
        <v>43160</v>
      </c>
      <c r="AD126">
        <v>60</v>
      </c>
      <c r="AE126">
        <v>1</v>
      </c>
      <c r="AG126" s="122"/>
      <c r="AH126" t="s">
        <v>2465</v>
      </c>
      <c r="AI126" s="26">
        <v>5.5</v>
      </c>
      <c r="AJ126" s="22">
        <v>43031.703472222223</v>
      </c>
      <c r="AK126" s="22">
        <v>1</v>
      </c>
      <c r="AL126">
        <v>4</v>
      </c>
      <c r="AN126" s="122"/>
      <c r="AO126" s="122"/>
      <c r="AP126" s="122"/>
      <c r="AQ126" s="122"/>
      <c r="AR126" s="123" t="str">
        <f>HYPERLINK("https://www.ejacket.nsf.gov/ej/showProposal.do?ID="&amp;ckCodingTable[[#This Row],[prop_id]],"eJ")</f>
        <v>eJ</v>
      </c>
      <c r="AS126" t="s">
        <v>173</v>
      </c>
      <c r="AT126" t="s">
        <v>2466</v>
      </c>
      <c r="AU126" t="b">
        <f>IF(ckCodingTable[[#This Row],[ILN]]="N",SUBSTITUTE(AT125," ","")&lt;&gt;SUBSTITUTE(ckCodingTable[[#This Row],[prop_titl_txt]]," ",""), FALSE)</f>
        <v>0</v>
      </c>
      <c r="AV126">
        <v>0</v>
      </c>
      <c r="AW126" s="124">
        <v>549999</v>
      </c>
      <c r="AX126" s="124">
        <v>549999</v>
      </c>
      <c r="AY126" s="124"/>
      <c r="AZ126" s="124">
        <v>20000</v>
      </c>
      <c r="BA126" s="124"/>
      <c r="BB126" s="124"/>
      <c r="BC126">
        <v>5</v>
      </c>
      <c r="BD126">
        <v>5</v>
      </c>
      <c r="BE126">
        <v>5</v>
      </c>
      <c r="BF126">
        <v>4.5199999999999996</v>
      </c>
      <c r="BH126">
        <v>0</v>
      </c>
      <c r="BI126">
        <v>0</v>
      </c>
      <c r="BJ126">
        <v>0</v>
      </c>
      <c r="BK126">
        <v>0</v>
      </c>
      <c r="BL126" t="s">
        <v>2467</v>
      </c>
    </row>
    <row r="127" spans="1:64">
      <c r="A127" s="30"/>
      <c r="B127" s="30">
        <v>42950.663888888892</v>
      </c>
      <c r="C127" t="s">
        <v>808</v>
      </c>
      <c r="D127" t="s">
        <v>2348</v>
      </c>
      <c r="E127" t="s">
        <v>903</v>
      </c>
      <c r="F127" t="s">
        <v>172</v>
      </c>
      <c r="G127" t="s">
        <v>170</v>
      </c>
      <c r="H127" s="21" t="s">
        <v>94</v>
      </c>
      <c r="I127" s="86">
        <v>1</v>
      </c>
      <c r="J127" s="86">
        <v>0</v>
      </c>
      <c r="K127" t="s">
        <v>2468</v>
      </c>
      <c r="L127" t="s">
        <v>1823</v>
      </c>
      <c r="M127" t="s">
        <v>2207</v>
      </c>
      <c r="N127" t="str">
        <f>IF(SUM(ckCodingTable[[#This Row],[NfmlPIs]:[NnonWhtAsnPIs]])&gt;0,"WMD","")</f>
        <v/>
      </c>
      <c r="O127" t="b">
        <f>_xlfn.XOR(IFERROR(MATCH(ckCodingTable[[#This Row],[st_code]],EpscorTable[],0)&gt;0,FALSE),IFERROR(FIND("9150",ckCodingTable[[#This Row],[propPRCs]])&gt;0,FALSE))</f>
        <v>0</v>
      </c>
      <c r="P127" s="21" t="b">
        <f>_xlfn.XOR(ckCodingTable[[#This Row],[wmd]]&lt;&gt;"",IFERROR(FIND("9102",ckCodingTable[[#This Row],[propPRCs]])&gt;0,FALSE))</f>
        <v>0</v>
      </c>
      <c r="Q127" t="s">
        <v>2469</v>
      </c>
      <c r="S127" s="108">
        <f>S126+(ckCodingTable[[#This Row],[ILN]]&lt;"M")</f>
        <v>103</v>
      </c>
      <c r="T127" s="21" t="s">
        <v>96</v>
      </c>
      <c r="U127" t="s">
        <v>1820</v>
      </c>
      <c r="V127" s="7" t="str">
        <f>HYPERLINK("https://www.ejacket.nsf.gov/ej/showProposal.do?ID="&amp;ckCodingTable[[#This Row],[prop_id]],"eJ")</f>
        <v>eJ</v>
      </c>
      <c r="W127" t="s">
        <v>2351</v>
      </c>
      <c r="X127" t="s">
        <v>1820</v>
      </c>
      <c r="Y127" t="s">
        <v>1821</v>
      </c>
      <c r="Z127" t="s">
        <v>2470</v>
      </c>
      <c r="AA127" t="s">
        <v>2209</v>
      </c>
      <c r="AB127" s="113" t="str">
        <f>HYPERLINK("mailto:"&amp;ckCodingTable[[#This Row],[email]]&amp;"&amp;subject=Your NSF Proposal:  "&amp;ckCodingTable[[#This Row],[Div]]&amp;" "&amp;ckCodingTable[[#This Row],[prop_id]], ckCodingTable[[#This Row],[email]])</f>
        <v>ani.majumdar@princeton.edu</v>
      </c>
      <c r="AC127" s="30">
        <v>42979</v>
      </c>
      <c r="AD127">
        <v>24</v>
      </c>
      <c r="AE127">
        <v>2</v>
      </c>
      <c r="AG127" s="122">
        <v>2</v>
      </c>
      <c r="AH127" t="s">
        <v>2471</v>
      </c>
      <c r="AI127" s="26">
        <v>5.8571428571428568</v>
      </c>
      <c r="AJ127" s="22">
        <v>43073.747916666667</v>
      </c>
      <c r="AL127">
        <v>7</v>
      </c>
      <c r="AN127" s="122">
        <v>7</v>
      </c>
      <c r="AO127" s="122"/>
      <c r="AP127" s="122"/>
      <c r="AQ127" s="122"/>
      <c r="AR127" s="123" t="str">
        <f>HYPERLINK("https://www.ejacket.nsf.gov/ej/showProposal.do?ID="&amp;ckCodingTable[[#This Row],[prop_id]],"eJ")</f>
        <v>eJ</v>
      </c>
      <c r="AS127" t="s">
        <v>173</v>
      </c>
      <c r="AT127" t="s">
        <v>2472</v>
      </c>
      <c r="AU127" t="b">
        <f>IF(ckCodingTable[[#This Row],[ILN]]="N",SUBSTITUTE(AT126," ","")&lt;&gt;SUBSTITUTE(ckCodingTable[[#This Row],[prop_titl_txt]]," ",""), FALSE)</f>
        <v>0</v>
      </c>
      <c r="AV127">
        <v>0</v>
      </c>
      <c r="AW127" s="124">
        <v>175000</v>
      </c>
      <c r="AX127" s="124">
        <v>175000</v>
      </c>
      <c r="AY127" s="124"/>
      <c r="AZ127" s="124"/>
      <c r="BA127" s="124"/>
      <c r="BB127" s="124"/>
      <c r="BC127">
        <v>2</v>
      </c>
      <c r="BH127">
        <v>0</v>
      </c>
      <c r="BI127">
        <v>0</v>
      </c>
      <c r="BJ127">
        <v>0</v>
      </c>
      <c r="BK127">
        <v>0</v>
      </c>
      <c r="BL127" t="s">
        <v>2473</v>
      </c>
    </row>
    <row r="128" spans="1:64">
      <c r="A128" s="30"/>
      <c r="B128" s="30">
        <v>42954.456944444442</v>
      </c>
      <c r="C128" t="s">
        <v>808</v>
      </c>
      <c r="D128" t="s">
        <v>741</v>
      </c>
      <c r="E128" t="s">
        <v>526</v>
      </c>
      <c r="F128" t="s">
        <v>172</v>
      </c>
      <c r="G128" t="s">
        <v>170</v>
      </c>
      <c r="H128" s="21" t="s">
        <v>94</v>
      </c>
      <c r="I128" s="86">
        <v>1</v>
      </c>
      <c r="J128" s="86">
        <v>0</v>
      </c>
      <c r="K128" t="s">
        <v>809</v>
      </c>
      <c r="L128" t="s">
        <v>543</v>
      </c>
      <c r="M128" t="s">
        <v>2131</v>
      </c>
      <c r="N128" t="str">
        <f>IF(SUM(ckCodingTable[[#This Row],[NfmlPIs]:[NnonWhtAsnPIs]])&gt;0,"WMD","")</f>
        <v/>
      </c>
      <c r="O128" t="b">
        <f>_xlfn.XOR(IFERROR(MATCH(ckCodingTable[[#This Row],[st_code]],EpscorTable[],0)&gt;0,FALSE),IFERROR(FIND("9150",ckCodingTable[[#This Row],[propPRCs]])&gt;0,FALSE))</f>
        <v>0</v>
      </c>
      <c r="P128" s="21" t="b">
        <f>_xlfn.XOR(ckCodingTable[[#This Row],[wmd]]&lt;&gt;"",IFERROR(FIND("9102",ckCodingTable[[#This Row],[propPRCs]])&gt;0,FALSE))</f>
        <v>0</v>
      </c>
      <c r="Q128" t="s">
        <v>810</v>
      </c>
      <c r="S128" s="108">
        <f>S127+(ckCodingTable[[#This Row],[ILN]]&lt;"M")</f>
        <v>104</v>
      </c>
      <c r="T128" s="21" t="s">
        <v>96</v>
      </c>
      <c r="U128" t="s">
        <v>1847</v>
      </c>
      <c r="V128" s="7" t="str">
        <f>HYPERLINK("https://www.ejacket.nsf.gov/ej/showProposal.do?ID="&amp;ckCodingTable[[#This Row],[prop_id]],"eJ")</f>
        <v>eJ</v>
      </c>
      <c r="W128" t="s">
        <v>742</v>
      </c>
      <c r="X128" t="s">
        <v>1847</v>
      </c>
      <c r="Y128" t="s">
        <v>1848</v>
      </c>
      <c r="Z128" t="s">
        <v>2474</v>
      </c>
      <c r="AA128" t="s">
        <v>2475</v>
      </c>
      <c r="AB128" s="113" t="str">
        <f>HYPERLINK("mailto:"&amp;ckCodingTable[[#This Row],[email]]&amp;"&amp;subject=Your NSF Proposal:  "&amp;ckCodingTable[[#This Row],[Div]]&amp;" "&amp;ckCodingTable[[#This Row],[prop_id]], ckCodingTable[[#This Row],[email]])</f>
        <v>wtong@georgiasouthern.edu</v>
      </c>
      <c r="AC128" s="30">
        <v>43235</v>
      </c>
      <c r="AD128">
        <v>24</v>
      </c>
      <c r="AE128">
        <v>1</v>
      </c>
      <c r="AG128" s="122">
        <v>1</v>
      </c>
      <c r="AH128" t="s">
        <v>2236</v>
      </c>
      <c r="AI128" s="26">
        <v>4</v>
      </c>
      <c r="AJ128" s="22">
        <v>43060.386805555558</v>
      </c>
      <c r="AL128">
        <v>3</v>
      </c>
      <c r="AN128" s="122">
        <v>3</v>
      </c>
      <c r="AO128" s="122"/>
      <c r="AP128" s="122"/>
      <c r="AQ128" s="122"/>
      <c r="AR128" s="123" t="str">
        <f>HYPERLINK("https://www.ejacket.nsf.gov/ej/showProposal.do?ID="&amp;ckCodingTable[[#This Row],[prop_id]],"eJ")</f>
        <v>eJ</v>
      </c>
      <c r="AS128" t="s">
        <v>173</v>
      </c>
      <c r="AT128" t="s">
        <v>2476</v>
      </c>
      <c r="AU128" t="b">
        <f>IF(ckCodingTable[[#This Row],[ILN]]="N",SUBSTITUTE(AT127," ","")&lt;&gt;SUBSTITUTE(ckCodingTable[[#This Row],[prop_titl_txt]]," ",""), FALSE)</f>
        <v>0</v>
      </c>
      <c r="AV128">
        <v>0</v>
      </c>
      <c r="AW128" s="124">
        <v>162689</v>
      </c>
      <c r="AX128" s="124">
        <v>162689</v>
      </c>
      <c r="AY128" s="124"/>
      <c r="AZ128" s="124">
        <v>8120</v>
      </c>
      <c r="BA128" s="124"/>
      <c r="BB128" s="124"/>
      <c r="BC128">
        <v>4</v>
      </c>
      <c r="BH128">
        <v>0</v>
      </c>
      <c r="BI128">
        <v>0</v>
      </c>
      <c r="BJ128">
        <v>0</v>
      </c>
      <c r="BK128">
        <v>0</v>
      </c>
      <c r="BL128" t="s">
        <v>2477</v>
      </c>
    </row>
    <row r="129" spans="1:64">
      <c r="A129" s="30"/>
      <c r="B129" s="30">
        <v>42954.500694444447</v>
      </c>
      <c r="C129" t="s">
        <v>808</v>
      </c>
      <c r="D129" t="s">
        <v>741</v>
      </c>
      <c r="E129" t="s">
        <v>526</v>
      </c>
      <c r="F129" t="s">
        <v>172</v>
      </c>
      <c r="G129" t="s">
        <v>170</v>
      </c>
      <c r="H129" s="21" t="s">
        <v>94</v>
      </c>
      <c r="I129" s="86">
        <v>1</v>
      </c>
      <c r="J129" s="86">
        <v>0</v>
      </c>
      <c r="K129" t="s">
        <v>809</v>
      </c>
      <c r="L129" t="s">
        <v>1530</v>
      </c>
      <c r="M129" t="s">
        <v>2131</v>
      </c>
      <c r="N129" t="str">
        <f>IF(SUM(ckCodingTable[[#This Row],[NfmlPIs]:[NnonWhtAsnPIs]])&gt;0,"WMD","")</f>
        <v/>
      </c>
      <c r="O129" t="b">
        <f>_xlfn.XOR(IFERROR(MATCH(ckCodingTable[[#This Row],[st_code]],EpscorTable[],0)&gt;0,FALSE),IFERROR(FIND("9150",ckCodingTable[[#This Row],[propPRCs]])&gt;0,FALSE))</f>
        <v>0</v>
      </c>
      <c r="P129" s="21" t="b">
        <f>_xlfn.XOR(ckCodingTable[[#This Row],[wmd]]&lt;&gt;"",IFERROR(FIND("9102",ckCodingTable[[#This Row],[propPRCs]])&gt;0,FALSE))</f>
        <v>0</v>
      </c>
      <c r="Q129" t="s">
        <v>810</v>
      </c>
      <c r="S129" s="108">
        <f>S128+(ckCodingTable[[#This Row],[ILN]]&lt;"M")</f>
        <v>105</v>
      </c>
      <c r="T129" s="21" t="s">
        <v>96</v>
      </c>
      <c r="U129" t="s">
        <v>1854</v>
      </c>
      <c r="V129" s="7" t="str">
        <f>HYPERLINK("https://www.ejacket.nsf.gov/ej/showProposal.do?ID="&amp;ckCodingTable[[#This Row],[prop_id]],"eJ")</f>
        <v>eJ</v>
      </c>
      <c r="W129" t="s">
        <v>742</v>
      </c>
      <c r="X129" t="s">
        <v>1854</v>
      </c>
      <c r="Y129" t="s">
        <v>336</v>
      </c>
      <c r="Z129" t="s">
        <v>2478</v>
      </c>
      <c r="AA129" t="s">
        <v>2475</v>
      </c>
      <c r="AB129" s="113" t="str">
        <f>HYPERLINK("mailto:"&amp;ckCodingTable[[#This Row],[email]]&amp;"&amp;subject=Your NSF Proposal:  "&amp;ckCodingTable[[#This Row],[Div]]&amp;" "&amp;ckCodingTable[[#This Row],[prop_id]], ckCodingTable[[#This Row],[email]])</f>
        <v>kwang@georgiasouthern.edu</v>
      </c>
      <c r="AC129" s="30">
        <v>43101</v>
      </c>
      <c r="AD129">
        <v>24</v>
      </c>
      <c r="AE129">
        <v>1</v>
      </c>
      <c r="AG129" s="122"/>
      <c r="AH129" t="s">
        <v>2479</v>
      </c>
      <c r="AI129" s="26">
        <v>3.25</v>
      </c>
      <c r="AJ129" s="22">
        <v>43031.775694444441</v>
      </c>
      <c r="AL129">
        <v>4</v>
      </c>
      <c r="AN129" s="122"/>
      <c r="AO129" s="122"/>
      <c r="AP129" s="122"/>
      <c r="AQ129" s="122"/>
      <c r="AR129" s="123" t="str">
        <f>HYPERLINK("https://www.ejacket.nsf.gov/ej/showProposal.do?ID="&amp;ckCodingTable[[#This Row],[prop_id]],"eJ")</f>
        <v>eJ</v>
      </c>
      <c r="AS129" t="s">
        <v>173</v>
      </c>
      <c r="AT129" t="s">
        <v>2480</v>
      </c>
      <c r="AU129" t="b">
        <f>IF(ckCodingTable[[#This Row],[ILN]]="N",SUBSTITUTE(AT128," ","")&lt;&gt;SUBSTITUTE(ckCodingTable[[#This Row],[prop_titl_txt]]," ",""), FALSE)</f>
        <v>0</v>
      </c>
      <c r="AV129">
        <v>0</v>
      </c>
      <c r="AW129" s="124">
        <v>168126</v>
      </c>
      <c r="AX129" s="124">
        <v>168126</v>
      </c>
      <c r="AY129" s="124"/>
      <c r="AZ129" s="124"/>
      <c r="BA129" s="124"/>
      <c r="BB129" s="124"/>
      <c r="BC129">
        <v>4</v>
      </c>
      <c r="BH129">
        <v>0</v>
      </c>
      <c r="BI129">
        <v>0</v>
      </c>
      <c r="BJ129">
        <v>0</v>
      </c>
      <c r="BK129">
        <v>0</v>
      </c>
      <c r="BL129" t="s">
        <v>2481</v>
      </c>
    </row>
    <row r="130" spans="1:64">
      <c r="A130" s="30"/>
      <c r="B130" s="30">
        <v>42955.429861111108</v>
      </c>
      <c r="C130" t="s">
        <v>808</v>
      </c>
      <c r="D130" t="s">
        <v>741</v>
      </c>
      <c r="E130" t="s">
        <v>526</v>
      </c>
      <c r="F130" t="s">
        <v>172</v>
      </c>
      <c r="G130" t="s">
        <v>170</v>
      </c>
      <c r="H130" s="21" t="s">
        <v>94</v>
      </c>
      <c r="I130" s="86">
        <v>1</v>
      </c>
      <c r="J130" s="86">
        <v>0</v>
      </c>
      <c r="K130" t="s">
        <v>809</v>
      </c>
      <c r="L130" t="s">
        <v>1530</v>
      </c>
      <c r="M130" t="s">
        <v>2039</v>
      </c>
      <c r="N130" t="str">
        <f>IF(SUM(ckCodingTable[[#This Row],[NfmlPIs]:[NnonWhtAsnPIs]])&gt;0,"WMD","")</f>
        <v/>
      </c>
      <c r="O130" t="b">
        <f>_xlfn.XOR(IFERROR(MATCH(ckCodingTable[[#This Row],[st_code]],EpscorTable[],0)&gt;0,FALSE),IFERROR(FIND("9150",ckCodingTable[[#This Row],[propPRCs]])&gt;0,FALSE))</f>
        <v>0</v>
      </c>
      <c r="P130" s="21" t="b">
        <f>_xlfn.XOR(ckCodingTable[[#This Row],[wmd]]&lt;&gt;"",IFERROR(FIND("9102",ckCodingTable[[#This Row],[propPRCs]])&gt;0,FALSE))</f>
        <v>0</v>
      </c>
      <c r="Q130" t="s">
        <v>810</v>
      </c>
      <c r="S130" s="108">
        <f>S129+(ckCodingTable[[#This Row],[ILN]]&lt;"M")</f>
        <v>106</v>
      </c>
      <c r="T130" s="21" t="s">
        <v>96</v>
      </c>
      <c r="U130" t="s">
        <v>1860</v>
      </c>
      <c r="V130" s="7" t="str">
        <f>HYPERLINK("https://www.ejacket.nsf.gov/ej/showProposal.do?ID="&amp;ckCodingTable[[#This Row],[prop_id]],"eJ")</f>
        <v>eJ</v>
      </c>
      <c r="W130" t="s">
        <v>742</v>
      </c>
      <c r="X130" t="s">
        <v>1860</v>
      </c>
      <c r="Y130" t="s">
        <v>1861</v>
      </c>
      <c r="Z130" t="s">
        <v>2482</v>
      </c>
      <c r="AA130" t="s">
        <v>2078</v>
      </c>
      <c r="AB130" s="113" t="str">
        <f>HYPERLINK("mailto:"&amp;ckCodingTable[[#This Row],[email]]&amp;"&amp;subject=Your NSF Proposal:  "&amp;ckCodingTable[[#This Row],[Div]]&amp;" "&amp;ckCodingTable[[#This Row],[prop_id]], ckCodingTable[[#This Row],[email]])</f>
        <v>yzhoucs@indiana.edu</v>
      </c>
      <c r="AC130" s="30">
        <v>43101</v>
      </c>
      <c r="AD130">
        <v>24</v>
      </c>
      <c r="AE130">
        <v>1</v>
      </c>
      <c r="AG130" s="122">
        <v>1</v>
      </c>
      <c r="AH130" t="s">
        <v>2189</v>
      </c>
      <c r="AI130" s="26">
        <v>6</v>
      </c>
      <c r="AJ130" s="22">
        <v>43060.397916666669</v>
      </c>
      <c r="AL130">
        <v>3</v>
      </c>
      <c r="AN130" s="122">
        <v>3</v>
      </c>
      <c r="AO130" s="122"/>
      <c r="AP130" s="122"/>
      <c r="AQ130" s="122"/>
      <c r="AR130" s="123" t="str">
        <f>HYPERLINK("https://www.ejacket.nsf.gov/ej/showProposal.do?ID="&amp;ckCodingTable[[#This Row],[prop_id]],"eJ")</f>
        <v>eJ</v>
      </c>
      <c r="AS130" t="s">
        <v>173</v>
      </c>
      <c r="AT130" t="s">
        <v>2483</v>
      </c>
      <c r="AU130" t="b">
        <f>IF(ckCodingTable[[#This Row],[ILN]]="N",SUBSTITUTE(AT129," ","")&lt;&gt;SUBSTITUTE(ckCodingTable[[#This Row],[prop_titl_txt]]," ",""), FALSE)</f>
        <v>0</v>
      </c>
      <c r="AV130">
        <v>0</v>
      </c>
      <c r="AW130" s="124">
        <v>174974</v>
      </c>
      <c r="AX130" s="124">
        <v>174974</v>
      </c>
      <c r="AY130" s="124"/>
      <c r="AZ130" s="124">
        <v>8400</v>
      </c>
      <c r="BA130" s="124"/>
      <c r="BB130" s="124"/>
      <c r="BC130">
        <v>3</v>
      </c>
      <c r="BH130">
        <v>0</v>
      </c>
      <c r="BI130">
        <v>0</v>
      </c>
      <c r="BJ130">
        <v>0</v>
      </c>
      <c r="BK130">
        <v>0</v>
      </c>
      <c r="BL130" t="s">
        <v>2484</v>
      </c>
    </row>
    <row r="131" spans="1:64">
      <c r="A131" s="30"/>
      <c r="B131" s="30">
        <v>42955.700694444444</v>
      </c>
      <c r="C131" t="s">
        <v>808</v>
      </c>
      <c r="D131" t="s">
        <v>741</v>
      </c>
      <c r="E131" t="s">
        <v>526</v>
      </c>
      <c r="F131" t="s">
        <v>172</v>
      </c>
      <c r="G131" t="s">
        <v>170</v>
      </c>
      <c r="H131" s="21" t="s">
        <v>94</v>
      </c>
      <c r="I131" s="86">
        <v>1</v>
      </c>
      <c r="J131" s="86">
        <v>0</v>
      </c>
      <c r="K131" t="s">
        <v>809</v>
      </c>
      <c r="L131" t="s">
        <v>543</v>
      </c>
      <c r="M131" t="s">
        <v>340</v>
      </c>
      <c r="N131" t="str">
        <f>IF(SUM(ckCodingTable[[#This Row],[NfmlPIs]:[NnonWhtAsnPIs]])&gt;0,"WMD","")</f>
        <v/>
      </c>
      <c r="O131" t="b">
        <f>_xlfn.XOR(IFERROR(MATCH(ckCodingTable[[#This Row],[st_code]],EpscorTable[],0)&gt;0,FALSE),IFERROR(FIND("9150",ckCodingTable[[#This Row],[propPRCs]])&gt;0,FALSE))</f>
        <v>0</v>
      </c>
      <c r="P131" s="21" t="b">
        <f>_xlfn.XOR(ckCodingTable[[#This Row],[wmd]]&lt;&gt;"",IFERROR(FIND("9102",ckCodingTable[[#This Row],[propPRCs]])&gt;0,FALSE))</f>
        <v>0</v>
      </c>
      <c r="Q131" t="s">
        <v>2485</v>
      </c>
      <c r="S131" s="108">
        <f>S130+(ckCodingTable[[#This Row],[ILN]]&lt;"M")</f>
        <v>107</v>
      </c>
      <c r="T131" s="21" t="s">
        <v>96</v>
      </c>
      <c r="U131" t="s">
        <v>1868</v>
      </c>
      <c r="V131" s="7" t="str">
        <f>HYPERLINK("https://www.ejacket.nsf.gov/ej/showProposal.do?ID="&amp;ckCodingTable[[#This Row],[prop_id]],"eJ")</f>
        <v>eJ</v>
      </c>
      <c r="W131" t="s">
        <v>742</v>
      </c>
      <c r="X131" t="s">
        <v>1868</v>
      </c>
      <c r="Y131" t="s">
        <v>1734</v>
      </c>
      <c r="Z131" t="s">
        <v>2486</v>
      </c>
      <c r="AA131" t="s">
        <v>339</v>
      </c>
      <c r="AB131" s="113" t="str">
        <f>HYPERLINK("mailto:"&amp;ckCodingTable[[#This Row],[email]]&amp;"&amp;subject=Your NSF Proposal:  "&amp;ckCodingTable[[#This Row],[Div]]&amp;" "&amp;ckCodingTable[[#This Row],[prop_id]], ckCodingTable[[#This Row],[email]])</f>
        <v>jugal@illinois.edu</v>
      </c>
      <c r="AC131" s="30">
        <v>43146</v>
      </c>
      <c r="AD131">
        <v>24</v>
      </c>
      <c r="AE131">
        <v>1</v>
      </c>
      <c r="AG131" s="122">
        <v>1</v>
      </c>
      <c r="AH131" t="s">
        <v>1976</v>
      </c>
      <c r="AI131" s="26">
        <v>7.333333333333333</v>
      </c>
      <c r="AJ131" s="22">
        <v>43059.534722222219</v>
      </c>
      <c r="AL131">
        <v>3</v>
      </c>
      <c r="AN131" s="122">
        <v>3</v>
      </c>
      <c r="AO131" s="122"/>
      <c r="AP131" s="122"/>
      <c r="AQ131" s="122"/>
      <c r="AR131" s="123" t="str">
        <f>HYPERLINK("https://www.ejacket.nsf.gov/ej/showProposal.do?ID="&amp;ckCodingTable[[#This Row],[prop_id]],"eJ")</f>
        <v>eJ</v>
      </c>
      <c r="AS131" t="s">
        <v>173</v>
      </c>
      <c r="AT131" t="s">
        <v>2487</v>
      </c>
      <c r="AU131" t="b">
        <f>IF(ckCodingTable[[#This Row],[ILN]]="N",SUBSTITUTE(AT130," ","")&lt;&gt;SUBSTITUTE(ckCodingTable[[#This Row],[prop_titl_txt]]," ",""), FALSE)</f>
        <v>0</v>
      </c>
      <c r="AV131">
        <v>0</v>
      </c>
      <c r="AW131" s="124">
        <v>175000</v>
      </c>
      <c r="AX131" s="124">
        <v>175000</v>
      </c>
      <c r="AY131" s="124"/>
      <c r="AZ131" s="124">
        <v>4000</v>
      </c>
      <c r="BA131" s="124"/>
      <c r="BB131" s="124"/>
      <c r="BC131">
        <v>4</v>
      </c>
      <c r="BH131">
        <v>0</v>
      </c>
      <c r="BI131">
        <v>0</v>
      </c>
      <c r="BJ131">
        <v>0</v>
      </c>
      <c r="BK131">
        <v>0</v>
      </c>
      <c r="BL131" t="s">
        <v>2488</v>
      </c>
    </row>
    <row r="132" spans="1:64">
      <c r="A132" s="30"/>
      <c r="B132" s="30">
        <v>42956.439583333333</v>
      </c>
      <c r="C132" t="s">
        <v>808</v>
      </c>
      <c r="D132" t="s">
        <v>2348</v>
      </c>
      <c r="E132" t="s">
        <v>903</v>
      </c>
      <c r="F132" t="s">
        <v>172</v>
      </c>
      <c r="G132" t="s">
        <v>170</v>
      </c>
      <c r="H132" s="21" t="s">
        <v>94</v>
      </c>
      <c r="I132" s="86">
        <v>1</v>
      </c>
      <c r="J132" s="86">
        <v>0</v>
      </c>
      <c r="K132" t="s">
        <v>2468</v>
      </c>
      <c r="L132" t="s">
        <v>1877</v>
      </c>
      <c r="M132" t="s">
        <v>2107</v>
      </c>
      <c r="N132" t="str">
        <f>IF(SUM(ckCodingTable[[#This Row],[NfmlPIs]:[NnonWhtAsnPIs]])&gt;0,"WMD","")</f>
        <v/>
      </c>
      <c r="O132" t="b">
        <f>_xlfn.XOR(IFERROR(MATCH(ckCodingTable[[#This Row],[st_code]],EpscorTable[],0)&gt;0,FALSE),IFERROR(FIND("9150",ckCodingTable[[#This Row],[propPRCs]])&gt;0,FALSE))</f>
        <v>0</v>
      </c>
      <c r="P132" s="21" t="b">
        <f>_xlfn.XOR(ckCodingTable[[#This Row],[wmd]]&lt;&gt;"",IFERROR(FIND("9102",ckCodingTable[[#This Row],[propPRCs]])&gt;0,FALSE))</f>
        <v>0</v>
      </c>
      <c r="Q132" t="s">
        <v>2469</v>
      </c>
      <c r="R132" s="22">
        <v>43070.440868055557</v>
      </c>
      <c r="S132" s="108">
        <f>S131+(ckCodingTable[[#This Row],[ILN]]&lt;"M")</f>
        <v>108</v>
      </c>
      <c r="T132" s="21" t="s">
        <v>96</v>
      </c>
      <c r="U132" t="s">
        <v>1874</v>
      </c>
      <c r="V132" s="7" t="str">
        <f>HYPERLINK("https://www.ejacket.nsf.gov/ej/showProposal.do?ID="&amp;ckCodingTable[[#This Row],[prop_id]],"eJ")</f>
        <v>eJ</v>
      </c>
      <c r="W132" t="s">
        <v>2351</v>
      </c>
      <c r="X132" t="s">
        <v>1874</v>
      </c>
      <c r="Y132" t="s">
        <v>1875</v>
      </c>
      <c r="Z132" t="s">
        <v>2489</v>
      </c>
      <c r="AA132" t="s">
        <v>2127</v>
      </c>
      <c r="AB132" s="113" t="str">
        <f>HYPERLINK("mailto:"&amp;ckCodingTable[[#This Row],[email]]&amp;"&amp;subject=Your NSF Proposal:  "&amp;ckCodingTable[[#This Row],[Div]]&amp;" "&amp;ckCodingTable[[#This Row],[prop_id]], ckCodingTable[[#This Row],[email]])</f>
        <v>feifang@cmu.edu</v>
      </c>
      <c r="AC132" s="30">
        <v>43101</v>
      </c>
      <c r="AD132">
        <v>24</v>
      </c>
      <c r="AE132">
        <v>2</v>
      </c>
      <c r="AG132" s="122">
        <v>1</v>
      </c>
      <c r="AH132" t="s">
        <v>2490</v>
      </c>
      <c r="AI132" s="26">
        <v>5.6</v>
      </c>
      <c r="AJ132" s="22">
        <v>43068.363194444442</v>
      </c>
      <c r="AK132" s="22">
        <v>2</v>
      </c>
      <c r="AL132">
        <v>5</v>
      </c>
      <c r="AN132" s="122"/>
      <c r="AO132" s="122"/>
      <c r="AP132" s="122"/>
      <c r="AQ132" s="122"/>
      <c r="AR132" s="123" t="str">
        <f>HYPERLINK("https://www.ejacket.nsf.gov/ej/showProposal.do?ID="&amp;ckCodingTable[[#This Row],[prop_id]],"eJ")</f>
        <v>eJ</v>
      </c>
      <c r="AS132" t="s">
        <v>2353</v>
      </c>
      <c r="AT132" t="s">
        <v>2491</v>
      </c>
      <c r="AU132" t="b">
        <f>IF(ckCodingTable[[#This Row],[ILN]]="N",SUBSTITUTE(AT131," ","")&lt;&gt;SUBSTITUTE(ckCodingTable[[#This Row],[prop_titl_txt]]," ",""), FALSE)</f>
        <v>0</v>
      </c>
      <c r="AV132">
        <v>0</v>
      </c>
      <c r="AW132" s="124">
        <v>175000</v>
      </c>
      <c r="AX132" s="124">
        <v>175000</v>
      </c>
      <c r="AY132" s="124"/>
      <c r="AZ132" s="124">
        <v>7798</v>
      </c>
      <c r="BA132" s="124"/>
      <c r="BB132" s="124"/>
      <c r="BC132">
        <v>2</v>
      </c>
      <c r="BH132">
        <v>0</v>
      </c>
      <c r="BI132">
        <v>0</v>
      </c>
      <c r="BJ132">
        <v>0</v>
      </c>
      <c r="BK132">
        <v>0</v>
      </c>
      <c r="BL132" t="s">
        <v>2492</v>
      </c>
    </row>
    <row r="133" spans="1:64">
      <c r="A133" s="30"/>
      <c r="B133" s="30">
        <v>42956.472222222219</v>
      </c>
      <c r="C133" t="s">
        <v>808</v>
      </c>
      <c r="D133" t="s">
        <v>741</v>
      </c>
      <c r="E133" t="s">
        <v>526</v>
      </c>
      <c r="F133" t="s">
        <v>172</v>
      </c>
      <c r="G133" t="s">
        <v>170</v>
      </c>
      <c r="H133" s="21" t="s">
        <v>94</v>
      </c>
      <c r="I133" s="86">
        <v>1</v>
      </c>
      <c r="J133" s="86">
        <v>0</v>
      </c>
      <c r="K133" t="s">
        <v>809</v>
      </c>
      <c r="L133" t="s">
        <v>540</v>
      </c>
      <c r="M133" t="s">
        <v>347</v>
      </c>
      <c r="N133" t="str">
        <f>IF(SUM(ckCodingTable[[#This Row],[NfmlPIs]:[NnonWhtAsnPIs]])&gt;0,"WMD","")</f>
        <v/>
      </c>
      <c r="O133" t="b">
        <f>_xlfn.XOR(IFERROR(MATCH(ckCodingTable[[#This Row],[st_code]],EpscorTable[],0)&gt;0,FALSE),IFERROR(FIND("9150",ckCodingTable[[#This Row],[propPRCs]])&gt;0,FALSE))</f>
        <v>0</v>
      </c>
      <c r="P133" s="21" t="b">
        <f>_xlfn.XOR(ckCodingTable[[#This Row],[wmd]]&lt;&gt;"",IFERROR(FIND("9102",ckCodingTable[[#This Row],[propPRCs]])&gt;0,FALSE))</f>
        <v>0</v>
      </c>
      <c r="Q133" t="s">
        <v>810</v>
      </c>
      <c r="S133" s="108">
        <f>S132+(ckCodingTable[[#This Row],[ILN]]&lt;"M")</f>
        <v>109</v>
      </c>
      <c r="T133" s="21" t="s">
        <v>96</v>
      </c>
      <c r="U133" t="s">
        <v>703</v>
      </c>
      <c r="V133" s="7" t="str">
        <f>HYPERLINK("https://www.ejacket.nsf.gov/ej/showProposal.do?ID="&amp;ckCodingTable[[#This Row],[prop_id]],"eJ")</f>
        <v>eJ</v>
      </c>
      <c r="W133" t="s">
        <v>742</v>
      </c>
      <c r="X133" t="s">
        <v>703</v>
      </c>
      <c r="Y133" t="s">
        <v>704</v>
      </c>
      <c r="Z133" t="s">
        <v>811</v>
      </c>
      <c r="AA133" t="s">
        <v>812</v>
      </c>
      <c r="AB133" s="113" t="str">
        <f>HYPERLINK("mailto:"&amp;ckCodingTable[[#This Row],[email]]&amp;"&amp;subject=Your NSF Proposal:  "&amp;ckCodingTable[[#This Row],[Div]]&amp;" "&amp;ckCodingTable[[#This Row],[prop_id]], ckCodingTable[[#This Row],[email]])</f>
        <v>hcharkhgard@usf.edu</v>
      </c>
      <c r="AC133" s="30">
        <v>43221</v>
      </c>
      <c r="AD133">
        <v>24</v>
      </c>
      <c r="AE133">
        <v>1</v>
      </c>
      <c r="AG133" s="122">
        <v>1</v>
      </c>
      <c r="AH133" t="s">
        <v>813</v>
      </c>
      <c r="AI133" s="26">
        <v>5</v>
      </c>
      <c r="AJ133" s="22">
        <v>43031.770833333336</v>
      </c>
      <c r="AL133">
        <v>3</v>
      </c>
      <c r="AN133" s="122">
        <v>3</v>
      </c>
      <c r="AO133" s="122"/>
      <c r="AP133" s="122"/>
      <c r="AQ133" s="122"/>
      <c r="AR133" s="123" t="str">
        <f>HYPERLINK("https://www.ejacket.nsf.gov/ej/showProposal.do?ID="&amp;ckCodingTable[[#This Row],[prop_id]],"eJ")</f>
        <v>eJ</v>
      </c>
      <c r="AS133" t="s">
        <v>173</v>
      </c>
      <c r="AT133" t="s">
        <v>814</v>
      </c>
      <c r="AU133" t="b">
        <f>IF(ckCodingTable[[#This Row],[ILN]]="N",SUBSTITUTE(AT132," ","")&lt;&gt;SUBSTITUTE(ckCodingTable[[#This Row],[prop_titl_txt]]," ",""), FALSE)</f>
        <v>0</v>
      </c>
      <c r="AV133">
        <v>0</v>
      </c>
      <c r="AW133" s="124">
        <v>172682</v>
      </c>
      <c r="AX133" s="124">
        <v>172682</v>
      </c>
      <c r="AY133" s="124"/>
      <c r="AZ133" s="124"/>
      <c r="BA133" s="124"/>
      <c r="BB133" s="124"/>
      <c r="BC133">
        <v>4</v>
      </c>
      <c r="BH133">
        <v>0</v>
      </c>
      <c r="BI133">
        <v>0</v>
      </c>
      <c r="BJ133">
        <v>0</v>
      </c>
      <c r="BK133">
        <v>0</v>
      </c>
      <c r="BL133" t="s">
        <v>815</v>
      </c>
    </row>
    <row r="134" spans="1:64">
      <c r="A134" s="30"/>
      <c r="B134" s="30">
        <v>42956.581944444442</v>
      </c>
      <c r="C134" t="s">
        <v>808</v>
      </c>
      <c r="D134" t="s">
        <v>741</v>
      </c>
      <c r="E134" t="s">
        <v>526</v>
      </c>
      <c r="F134" t="s">
        <v>172</v>
      </c>
      <c r="G134" t="s">
        <v>170</v>
      </c>
      <c r="H134" s="21" t="s">
        <v>94</v>
      </c>
      <c r="I134" s="86">
        <v>1</v>
      </c>
      <c r="J134" s="86">
        <v>0</v>
      </c>
      <c r="K134" t="s">
        <v>809</v>
      </c>
      <c r="L134" t="s">
        <v>1530</v>
      </c>
      <c r="M134" t="s">
        <v>258</v>
      </c>
      <c r="N134" t="str">
        <f>IF(SUM(ckCodingTable[[#This Row],[NfmlPIs]:[NnonWhtAsnPIs]])&gt;0,"WMD","")</f>
        <v/>
      </c>
      <c r="O134" t="b">
        <f>_xlfn.XOR(IFERROR(MATCH(ckCodingTable[[#This Row],[st_code]],EpscorTable[],0)&gt;0,FALSE),IFERROR(FIND("9150",ckCodingTable[[#This Row],[propPRCs]])&gt;0,FALSE))</f>
        <v>0</v>
      </c>
      <c r="P134" s="21" t="b">
        <f>_xlfn.XOR(ckCodingTable[[#This Row],[wmd]]&lt;&gt;"",IFERROR(FIND("9102",ckCodingTable[[#This Row],[propPRCs]])&gt;0,FALSE))</f>
        <v>0</v>
      </c>
      <c r="Q134" t="s">
        <v>810</v>
      </c>
      <c r="S134" s="108">
        <f>S133+(ckCodingTable[[#This Row],[ILN]]&lt;"M")</f>
        <v>110</v>
      </c>
      <c r="T134" s="21" t="s">
        <v>96</v>
      </c>
      <c r="U134" t="s">
        <v>1895</v>
      </c>
      <c r="V134" s="7" t="str">
        <f>HYPERLINK("https://www.ejacket.nsf.gov/ej/showProposal.do?ID="&amp;ckCodingTable[[#This Row],[prop_id]],"eJ")</f>
        <v>eJ</v>
      </c>
      <c r="W134" t="s">
        <v>742</v>
      </c>
      <c r="X134" t="s">
        <v>1895</v>
      </c>
      <c r="Y134" t="s">
        <v>1896</v>
      </c>
      <c r="Z134" t="s">
        <v>2493</v>
      </c>
      <c r="AA134" t="s">
        <v>2494</v>
      </c>
      <c r="AB134" s="113" t="str">
        <f>HYPERLINK("mailto:"&amp;ckCodingTable[[#This Row],[email]]&amp;"&amp;subject=Your NSF Proposal:  "&amp;ckCodingTable[[#This Row],[Div]]&amp;" "&amp;ckCodingTable[[#This Row],[prop_id]], ckCodingTable[[#This Row],[email]])</f>
        <v>Mayank.Goswami@qc.cuny.edu</v>
      </c>
      <c r="AC134" s="30">
        <v>43344</v>
      </c>
      <c r="AD134">
        <v>24</v>
      </c>
      <c r="AE134">
        <v>1</v>
      </c>
      <c r="AG134" s="122">
        <v>1</v>
      </c>
      <c r="AH134" t="s">
        <v>2495</v>
      </c>
      <c r="AI134" s="26">
        <v>7</v>
      </c>
      <c r="AJ134" s="22">
        <v>43031.369444444441</v>
      </c>
      <c r="AK134" s="22">
        <v>1</v>
      </c>
      <c r="AL134">
        <v>3</v>
      </c>
      <c r="AN134" s="122">
        <v>3</v>
      </c>
      <c r="AO134" s="122"/>
      <c r="AP134" s="122"/>
      <c r="AQ134" s="122"/>
      <c r="AR134" s="123" t="str">
        <f>HYPERLINK("https://www.ejacket.nsf.gov/ej/showProposal.do?ID="&amp;ckCodingTable[[#This Row],[prop_id]],"eJ")</f>
        <v>eJ</v>
      </c>
      <c r="AS134" t="s">
        <v>173</v>
      </c>
      <c r="AT134" t="s">
        <v>2496</v>
      </c>
      <c r="AU134" t="b">
        <f>IF(ckCodingTable[[#This Row],[ILN]]="N",SUBSTITUTE(AT133," ","")&lt;&gt;SUBSTITUTE(ckCodingTable[[#This Row],[prop_titl_txt]]," ",""), FALSE)</f>
        <v>0</v>
      </c>
      <c r="AV134">
        <v>0</v>
      </c>
      <c r="AW134" s="124">
        <v>175000</v>
      </c>
      <c r="AX134" s="124">
        <v>175000</v>
      </c>
      <c r="AY134" s="124"/>
      <c r="AZ134" s="124">
        <v>10000</v>
      </c>
      <c r="BA134" s="124"/>
      <c r="BB134" s="124"/>
      <c r="BC134">
        <v>2</v>
      </c>
      <c r="BH134">
        <v>0</v>
      </c>
      <c r="BI134">
        <v>0</v>
      </c>
      <c r="BJ134">
        <v>0</v>
      </c>
      <c r="BK134">
        <v>0</v>
      </c>
      <c r="BL134" t="s">
        <v>2497</v>
      </c>
    </row>
    <row r="135" spans="1:64">
      <c r="A135" s="30"/>
      <c r="B135" s="30">
        <v>42956.588888888888</v>
      </c>
      <c r="C135" t="s">
        <v>808</v>
      </c>
      <c r="D135" t="s">
        <v>2348</v>
      </c>
      <c r="E135" t="s">
        <v>903</v>
      </c>
      <c r="F135" t="s">
        <v>172</v>
      </c>
      <c r="G135" t="s">
        <v>170</v>
      </c>
      <c r="H135" s="21" t="s">
        <v>94</v>
      </c>
      <c r="I135" s="86">
        <v>1</v>
      </c>
      <c r="J135" s="86">
        <v>0</v>
      </c>
      <c r="K135" t="s">
        <v>2468</v>
      </c>
      <c r="L135" t="s">
        <v>1488</v>
      </c>
      <c r="M135" t="s">
        <v>2131</v>
      </c>
      <c r="N135" t="str">
        <f>IF(SUM(ckCodingTable[[#This Row],[NfmlPIs]:[NnonWhtAsnPIs]])&gt;0,"WMD","")</f>
        <v/>
      </c>
      <c r="O135" t="b">
        <f>_xlfn.XOR(IFERROR(MATCH(ckCodingTable[[#This Row],[st_code]],EpscorTable[],0)&gt;0,FALSE),IFERROR(FIND("9150",ckCodingTable[[#This Row],[propPRCs]])&gt;0,FALSE))</f>
        <v>0</v>
      </c>
      <c r="P135" s="21" t="b">
        <f>_xlfn.XOR(ckCodingTable[[#This Row],[wmd]]&lt;&gt;"",IFERROR(FIND("9102",ckCodingTable[[#This Row],[propPRCs]])&gt;0,FALSE))</f>
        <v>0</v>
      </c>
      <c r="Q135" t="s">
        <v>2469</v>
      </c>
      <c r="S135" s="108">
        <f>S134+(ckCodingTable[[#This Row],[ILN]]&lt;"M")</f>
        <v>111</v>
      </c>
      <c r="T135" s="21" t="s">
        <v>96</v>
      </c>
      <c r="U135" t="s">
        <v>1903</v>
      </c>
      <c r="V135" s="7" t="str">
        <f>HYPERLINK("https://www.ejacket.nsf.gov/ej/showProposal.do?ID="&amp;ckCodingTable[[#This Row],[prop_id]],"eJ")</f>
        <v>eJ</v>
      </c>
      <c r="W135" t="s">
        <v>2351</v>
      </c>
      <c r="X135" t="s">
        <v>1903</v>
      </c>
      <c r="Y135" t="s">
        <v>1904</v>
      </c>
      <c r="Z135" t="s">
        <v>2498</v>
      </c>
      <c r="AA135" t="s">
        <v>2133</v>
      </c>
      <c r="AB135" s="113" t="str">
        <f>HYPERLINK("mailto:"&amp;ckCodingTable[[#This Row],[email]]&amp;"&amp;subject=Your NSF Proposal:  "&amp;ckCodingTable[[#This Row],[Div]]&amp;" "&amp;ckCodingTable[[#This Row],[prop_id]], ckCodingTable[[#This Row],[email]])</f>
        <v>tzhao80@gatech.edu</v>
      </c>
      <c r="AC135" s="30">
        <v>43235</v>
      </c>
      <c r="AD135">
        <v>24</v>
      </c>
      <c r="AE135">
        <v>2</v>
      </c>
      <c r="AG135" s="122">
        <v>2</v>
      </c>
      <c r="AH135" t="s">
        <v>2499</v>
      </c>
      <c r="AI135" s="26">
        <v>5</v>
      </c>
      <c r="AJ135" s="22">
        <v>43058.96597222222</v>
      </c>
      <c r="AK135" s="22">
        <v>2</v>
      </c>
      <c r="AL135">
        <v>7</v>
      </c>
      <c r="AN135" s="122">
        <v>7</v>
      </c>
      <c r="AO135" s="122"/>
      <c r="AP135" s="122"/>
      <c r="AQ135" s="122"/>
      <c r="AR135" s="123" t="str">
        <f>HYPERLINK("https://www.ejacket.nsf.gov/ej/showProposal.do?ID="&amp;ckCodingTable[[#This Row],[prop_id]],"eJ")</f>
        <v>eJ</v>
      </c>
      <c r="AS135" t="s">
        <v>173</v>
      </c>
      <c r="AT135" t="s">
        <v>2500</v>
      </c>
      <c r="AU135" t="b">
        <f>IF(ckCodingTable[[#This Row],[ILN]]="N",SUBSTITUTE(AT134," ","")&lt;&gt;SUBSTITUTE(ckCodingTable[[#This Row],[prop_titl_txt]]," ",""), FALSE)</f>
        <v>0</v>
      </c>
      <c r="AV135">
        <v>0</v>
      </c>
      <c r="AW135" s="124">
        <v>175000</v>
      </c>
      <c r="AX135" s="124">
        <v>175000</v>
      </c>
      <c r="AY135" s="124"/>
      <c r="AZ135" s="124"/>
      <c r="BA135" s="124"/>
      <c r="BB135" s="124"/>
      <c r="BC135">
        <v>6</v>
      </c>
      <c r="BH135">
        <v>0</v>
      </c>
      <c r="BI135">
        <v>0</v>
      </c>
      <c r="BJ135">
        <v>0</v>
      </c>
      <c r="BK135">
        <v>0</v>
      </c>
      <c r="BL135" t="s">
        <v>2501</v>
      </c>
    </row>
    <row r="136" spans="1:64">
      <c r="A136" s="30"/>
      <c r="B136" s="30">
        <v>42956.621527777781</v>
      </c>
      <c r="C136" t="s">
        <v>808</v>
      </c>
      <c r="D136" t="s">
        <v>741</v>
      </c>
      <c r="E136" t="s">
        <v>526</v>
      </c>
      <c r="F136" t="s">
        <v>172</v>
      </c>
      <c r="G136" t="s">
        <v>170</v>
      </c>
      <c r="H136" s="21" t="s">
        <v>94</v>
      </c>
      <c r="I136" s="86">
        <v>1</v>
      </c>
      <c r="J136" s="86">
        <v>0</v>
      </c>
      <c r="K136" t="s">
        <v>809</v>
      </c>
      <c r="L136" t="s">
        <v>543</v>
      </c>
      <c r="M136" t="s">
        <v>340</v>
      </c>
      <c r="N136" t="str">
        <f>IF(SUM(ckCodingTable[[#This Row],[NfmlPIs]:[NnonWhtAsnPIs]])&gt;0,"WMD","")</f>
        <v/>
      </c>
      <c r="O136" t="b">
        <f>_xlfn.XOR(IFERROR(MATCH(ckCodingTable[[#This Row],[st_code]],EpscorTable[],0)&gt;0,FALSE),IFERROR(FIND("9150",ckCodingTable[[#This Row],[propPRCs]])&gt;0,FALSE))</f>
        <v>0</v>
      </c>
      <c r="P136" s="21" t="b">
        <f>_xlfn.XOR(ckCodingTable[[#This Row],[wmd]]&lt;&gt;"",IFERROR(FIND("9102",ckCodingTable[[#This Row],[propPRCs]])&gt;0,FALSE))</f>
        <v>0</v>
      </c>
      <c r="Q136" t="s">
        <v>816</v>
      </c>
      <c r="S136" s="108">
        <f>S135+(ckCodingTable[[#This Row],[ILN]]&lt;"M")</f>
        <v>112</v>
      </c>
      <c r="T136" s="21" t="s">
        <v>96</v>
      </c>
      <c r="U136" t="s">
        <v>710</v>
      </c>
      <c r="V136" s="7" t="str">
        <f>HYPERLINK("https://www.ejacket.nsf.gov/ej/showProposal.do?ID="&amp;ckCodingTable[[#This Row],[prop_id]],"eJ")</f>
        <v>eJ</v>
      </c>
      <c r="W136" t="s">
        <v>742</v>
      </c>
      <c r="X136" t="s">
        <v>710</v>
      </c>
      <c r="Y136" t="s">
        <v>348</v>
      </c>
      <c r="Z136" t="s">
        <v>817</v>
      </c>
      <c r="AA136" t="s">
        <v>339</v>
      </c>
      <c r="AB136" s="113" t="str">
        <f>HYPERLINK("mailto:"&amp;ckCodingTable[[#This Row],[email]]&amp;"&amp;subject=Your NSF Proposal:  "&amp;ckCodingTable[[#This Row],[Div]]&amp;" "&amp;ckCodingTable[[#This Row],[prop_id]], ckCodingTable[[#This Row],[email]])</f>
        <v>ruoyus@illinois.edu</v>
      </c>
      <c r="AC136" s="30">
        <v>43282</v>
      </c>
      <c r="AD136">
        <v>24</v>
      </c>
      <c r="AE136">
        <v>1</v>
      </c>
      <c r="AG136" s="122">
        <v>1</v>
      </c>
      <c r="AH136" t="s">
        <v>818</v>
      </c>
      <c r="AI136" s="26">
        <v>6.333333333333333</v>
      </c>
      <c r="AJ136" s="22">
        <v>43031.767361111109</v>
      </c>
      <c r="AK136" s="22">
        <v>2</v>
      </c>
      <c r="AL136">
        <v>3</v>
      </c>
      <c r="AN136" s="122">
        <v>3</v>
      </c>
      <c r="AO136" s="122"/>
      <c r="AP136" s="122"/>
      <c r="AQ136" s="122"/>
      <c r="AR136" s="123" t="str">
        <f>HYPERLINK("https://www.ejacket.nsf.gov/ej/showProposal.do?ID="&amp;ckCodingTable[[#This Row],[prop_id]],"eJ")</f>
        <v>eJ</v>
      </c>
      <c r="AS136" t="s">
        <v>173</v>
      </c>
      <c r="AT136" t="s">
        <v>819</v>
      </c>
      <c r="AU136" t="b">
        <f>IF(ckCodingTable[[#This Row],[ILN]]="N",SUBSTITUTE(AT135," ","")&lt;&gt;SUBSTITUTE(ckCodingTable[[#This Row],[prop_titl_txt]]," ",""), FALSE)</f>
        <v>0</v>
      </c>
      <c r="AV136">
        <v>0</v>
      </c>
      <c r="AW136" s="124">
        <v>175000</v>
      </c>
      <c r="AX136" s="124">
        <v>175000</v>
      </c>
      <c r="AY136" s="124"/>
      <c r="AZ136" s="124">
        <v>4000</v>
      </c>
      <c r="BA136" s="124"/>
      <c r="BB136" s="124"/>
      <c r="BC136">
        <v>4</v>
      </c>
      <c r="BH136">
        <v>0</v>
      </c>
      <c r="BI136">
        <v>0</v>
      </c>
      <c r="BJ136">
        <v>0</v>
      </c>
      <c r="BK136">
        <v>0</v>
      </c>
      <c r="BL136" t="s">
        <v>820</v>
      </c>
    </row>
    <row r="137" spans="1:64">
      <c r="A137" s="30"/>
      <c r="B137" s="30">
        <v>42956.647916666669</v>
      </c>
      <c r="C137" t="s">
        <v>808</v>
      </c>
      <c r="D137" t="s">
        <v>741</v>
      </c>
      <c r="E137" t="s">
        <v>526</v>
      </c>
      <c r="F137" t="s">
        <v>172</v>
      </c>
      <c r="G137" t="s">
        <v>170</v>
      </c>
      <c r="H137" s="21" t="s">
        <v>94</v>
      </c>
      <c r="I137" s="86">
        <v>1</v>
      </c>
      <c r="J137" s="86">
        <v>0</v>
      </c>
      <c r="K137" t="s">
        <v>809</v>
      </c>
      <c r="L137" t="s">
        <v>540</v>
      </c>
      <c r="M137" t="s">
        <v>118</v>
      </c>
      <c r="N137" t="str">
        <f>IF(SUM(ckCodingTable[[#This Row],[NfmlPIs]:[NnonWhtAsnPIs]])&gt;0,"WMD","")</f>
        <v/>
      </c>
      <c r="O137" t="b">
        <f>_xlfn.XOR(IFERROR(MATCH(ckCodingTable[[#This Row],[st_code]],EpscorTable[],0)&gt;0,FALSE),IFERROR(FIND("9150",ckCodingTable[[#This Row],[propPRCs]])&gt;0,FALSE))</f>
        <v>0</v>
      </c>
      <c r="P137" s="21" t="b">
        <f>_xlfn.XOR(ckCodingTable[[#This Row],[wmd]]&lt;&gt;"",IFERROR(FIND("9102",ckCodingTable[[#This Row],[propPRCs]])&gt;0,FALSE))</f>
        <v>0</v>
      </c>
      <c r="Q137" t="s">
        <v>821</v>
      </c>
      <c r="S137" s="108">
        <f>S136+(ckCodingTable[[#This Row],[ILN]]&lt;"M")</f>
        <v>113</v>
      </c>
      <c r="T137" s="21" t="s">
        <v>96</v>
      </c>
      <c r="U137" t="s">
        <v>716</v>
      </c>
      <c r="V137" s="7" t="str">
        <f>HYPERLINK("https://www.ejacket.nsf.gov/ej/showProposal.do?ID="&amp;ckCodingTable[[#This Row],[prop_id]],"eJ")</f>
        <v>eJ</v>
      </c>
      <c r="W137" t="s">
        <v>742</v>
      </c>
      <c r="X137" t="s">
        <v>716</v>
      </c>
      <c r="Y137" t="s">
        <v>717</v>
      </c>
      <c r="Z137" t="s">
        <v>822</v>
      </c>
      <c r="AA137" t="s">
        <v>823</v>
      </c>
      <c r="AB137" s="113" t="str">
        <f>HYPERLINK("mailto:"&amp;ckCodingTable[[#This Row],[email]]&amp;"&amp;subject=Your NSF Proposal:  "&amp;ckCodingTable[[#This Row],[Div]]&amp;" "&amp;ckCodingTable[[#This Row],[prop_id]], ckCodingTable[[#This Row],[email]])</f>
        <v>osan@okstate.edu</v>
      </c>
      <c r="AC137" s="30">
        <v>43252</v>
      </c>
      <c r="AD137">
        <v>24</v>
      </c>
      <c r="AE137">
        <v>1</v>
      </c>
      <c r="AG137" s="122">
        <v>1</v>
      </c>
      <c r="AH137" t="s">
        <v>824</v>
      </c>
      <c r="AI137" s="26">
        <v>5.333333333333333</v>
      </c>
      <c r="AJ137" s="22">
        <v>43031.741666666669</v>
      </c>
      <c r="AL137">
        <v>3</v>
      </c>
      <c r="AN137" s="122">
        <v>3</v>
      </c>
      <c r="AO137" s="122"/>
      <c r="AP137" s="122"/>
      <c r="AQ137" s="122"/>
      <c r="AR137" s="123" t="str">
        <f>HYPERLINK("https://www.ejacket.nsf.gov/ej/showProposal.do?ID="&amp;ckCodingTable[[#This Row],[prop_id]],"eJ")</f>
        <v>eJ</v>
      </c>
      <c r="AS137" t="s">
        <v>173</v>
      </c>
      <c r="AT137" t="s">
        <v>825</v>
      </c>
      <c r="AU137" t="b">
        <f>IF(ckCodingTable[[#This Row],[ILN]]="N",SUBSTITUTE(AT136," ","")&lt;&gt;SUBSTITUTE(ckCodingTable[[#This Row],[prop_titl_txt]]," ",""), FALSE)</f>
        <v>0</v>
      </c>
      <c r="AV137">
        <v>0</v>
      </c>
      <c r="AW137" s="124">
        <v>170144</v>
      </c>
      <c r="AX137" s="124">
        <v>170144</v>
      </c>
      <c r="AY137" s="124"/>
      <c r="AZ137" s="124"/>
      <c r="BA137" s="124"/>
      <c r="BB137" s="124"/>
      <c r="BC137">
        <v>4</v>
      </c>
      <c r="BH137">
        <v>0</v>
      </c>
      <c r="BI137">
        <v>0</v>
      </c>
      <c r="BJ137">
        <v>0</v>
      </c>
      <c r="BK137">
        <v>0</v>
      </c>
      <c r="BL137" t="s">
        <v>826</v>
      </c>
    </row>
    <row r="138" spans="1:64">
      <c r="A138" s="30"/>
      <c r="B138" s="30">
        <v>42956.648611111108</v>
      </c>
      <c r="C138" t="s">
        <v>808</v>
      </c>
      <c r="D138" t="s">
        <v>741</v>
      </c>
      <c r="E138" t="s">
        <v>526</v>
      </c>
      <c r="F138" t="s">
        <v>172</v>
      </c>
      <c r="G138" t="s">
        <v>170</v>
      </c>
      <c r="H138" s="21" t="s">
        <v>94</v>
      </c>
      <c r="I138" s="86">
        <v>1</v>
      </c>
      <c r="J138" s="86">
        <v>0</v>
      </c>
      <c r="K138" t="s">
        <v>809</v>
      </c>
      <c r="L138" t="s">
        <v>543</v>
      </c>
      <c r="M138" t="s">
        <v>258</v>
      </c>
      <c r="N138" t="str">
        <f>IF(SUM(ckCodingTable[[#This Row],[NfmlPIs]:[NnonWhtAsnPIs]])&gt;0,"WMD","")</f>
        <v/>
      </c>
      <c r="O138" t="b">
        <f>_xlfn.XOR(IFERROR(MATCH(ckCodingTable[[#This Row],[st_code]],EpscorTable[],0)&gt;0,FALSE),IFERROR(FIND("9150",ckCodingTable[[#This Row],[propPRCs]])&gt;0,FALSE))</f>
        <v>0</v>
      </c>
      <c r="P138" s="21" t="b">
        <f>_xlfn.XOR(ckCodingTable[[#This Row],[wmd]]&lt;&gt;"",IFERROR(FIND("9102",ckCodingTable[[#This Row],[propPRCs]])&gt;0,FALSE))</f>
        <v>0</v>
      </c>
      <c r="Q138" t="s">
        <v>2485</v>
      </c>
      <c r="S138" s="108">
        <f>S137+(ckCodingTable[[#This Row],[ILN]]&lt;"M")</f>
        <v>114</v>
      </c>
      <c r="T138" s="21" t="s">
        <v>96</v>
      </c>
      <c r="U138" t="s">
        <v>1931</v>
      </c>
      <c r="V138" s="7" t="str">
        <f>HYPERLINK("https://www.ejacket.nsf.gov/ej/showProposal.do?ID="&amp;ckCodingTable[[#This Row],[prop_id]],"eJ")</f>
        <v>eJ</v>
      </c>
      <c r="W138" t="s">
        <v>742</v>
      </c>
      <c r="X138" t="s">
        <v>1931</v>
      </c>
      <c r="Y138" t="s">
        <v>1932</v>
      </c>
      <c r="Z138" t="s">
        <v>811</v>
      </c>
      <c r="AA138" t="s">
        <v>2502</v>
      </c>
      <c r="AB138" s="113" t="str">
        <f>HYPERLINK("mailto:"&amp;ckCodingTable[[#This Row],[email]]&amp;"&amp;subject=Your NSF Proposal:  "&amp;ckCodingTable[[#This Row],[Div]]&amp;" "&amp;ckCodingTable[[#This Row],[prop_id]], ckCodingTable[[#This Row],[email]])</f>
        <v>hhvcs@rit.edu</v>
      </c>
      <c r="AC138" s="30">
        <v>43344</v>
      </c>
      <c r="AD138">
        <v>24</v>
      </c>
      <c r="AE138">
        <v>1</v>
      </c>
      <c r="AG138" s="122">
        <v>1</v>
      </c>
      <c r="AH138" t="s">
        <v>2248</v>
      </c>
      <c r="AI138" s="26">
        <v>5.666666666666667</v>
      </c>
      <c r="AJ138" s="22">
        <v>43059.231249999997</v>
      </c>
      <c r="AL138">
        <v>3</v>
      </c>
      <c r="AN138" s="122">
        <v>3</v>
      </c>
      <c r="AO138" s="122"/>
      <c r="AP138" s="122"/>
      <c r="AQ138" s="122"/>
      <c r="AR138" s="123" t="str">
        <f>HYPERLINK("https://www.ejacket.nsf.gov/ej/showProposal.do?ID="&amp;ckCodingTable[[#This Row],[prop_id]],"eJ")</f>
        <v>eJ</v>
      </c>
      <c r="AS138" t="s">
        <v>173</v>
      </c>
      <c r="AT138" t="s">
        <v>2503</v>
      </c>
      <c r="AU138" t="b">
        <f>IF(ckCodingTable[[#This Row],[ILN]]="N",SUBSTITUTE(AT137," ","")&lt;&gt;SUBSTITUTE(ckCodingTable[[#This Row],[prop_titl_txt]]," ",""), FALSE)</f>
        <v>0</v>
      </c>
      <c r="AV138">
        <v>0</v>
      </c>
      <c r="AW138" s="124">
        <v>173878</v>
      </c>
      <c r="AX138" s="124">
        <v>173878</v>
      </c>
      <c r="AY138" s="124"/>
      <c r="AZ138" s="124">
        <v>3000</v>
      </c>
      <c r="BA138" s="124"/>
      <c r="BB138" s="124"/>
      <c r="BC138">
        <v>2</v>
      </c>
      <c r="BH138">
        <v>0</v>
      </c>
      <c r="BI138">
        <v>0</v>
      </c>
      <c r="BJ138">
        <v>0</v>
      </c>
      <c r="BK138">
        <v>0</v>
      </c>
      <c r="BL138" t="s">
        <v>2504</v>
      </c>
    </row>
    <row r="139" spans="1:64">
      <c r="A139" s="30"/>
      <c r="B139" s="30">
        <v>42956.678472222222</v>
      </c>
      <c r="C139" t="s">
        <v>808</v>
      </c>
      <c r="D139" t="s">
        <v>741</v>
      </c>
      <c r="E139" t="s">
        <v>526</v>
      </c>
      <c r="F139" t="s">
        <v>172</v>
      </c>
      <c r="G139" t="s">
        <v>170</v>
      </c>
      <c r="H139" s="21" t="s">
        <v>94</v>
      </c>
      <c r="I139" s="86">
        <v>1</v>
      </c>
      <c r="J139" s="86">
        <v>0</v>
      </c>
      <c r="K139" t="s">
        <v>809</v>
      </c>
      <c r="L139" t="s">
        <v>543</v>
      </c>
      <c r="M139" t="s">
        <v>340</v>
      </c>
      <c r="N139" t="str">
        <f>IF(SUM(ckCodingTable[[#This Row],[NfmlPIs]:[NnonWhtAsnPIs]])&gt;0,"WMD","")</f>
        <v/>
      </c>
      <c r="O139" t="b">
        <f>_xlfn.XOR(IFERROR(MATCH(ckCodingTable[[#This Row],[st_code]],EpscorTable[],0)&gt;0,FALSE),IFERROR(FIND("9150",ckCodingTable[[#This Row],[propPRCs]])&gt;0,FALSE))</f>
        <v>0</v>
      </c>
      <c r="P139" s="21" t="b">
        <f>_xlfn.XOR(ckCodingTable[[#This Row],[wmd]]&lt;&gt;"",IFERROR(FIND("9102",ckCodingTable[[#This Row],[propPRCs]])&gt;0,FALSE))</f>
        <v>0</v>
      </c>
      <c r="Q139" t="s">
        <v>2505</v>
      </c>
      <c r="S139" s="108">
        <f>S138+(ckCodingTable[[#This Row],[ILN]]&lt;"M")</f>
        <v>115</v>
      </c>
      <c r="T139" s="21" t="s">
        <v>96</v>
      </c>
      <c r="U139" t="s">
        <v>1938</v>
      </c>
      <c r="V139" s="7" t="str">
        <f>HYPERLINK("https://www.ejacket.nsf.gov/ej/showProposal.do?ID="&amp;ckCodingTable[[#This Row],[prop_id]],"eJ")</f>
        <v>eJ</v>
      </c>
      <c r="W139" t="s">
        <v>742</v>
      </c>
      <c r="X139" t="s">
        <v>1938</v>
      </c>
      <c r="Y139" t="s">
        <v>1939</v>
      </c>
      <c r="Z139" t="s">
        <v>1969</v>
      </c>
      <c r="AA139" t="s">
        <v>339</v>
      </c>
      <c r="AB139" s="113" t="str">
        <f>HYPERLINK("mailto:"&amp;ckCodingTable[[#This Row],[email]]&amp;"&amp;subject=Your NSF Proposal:  "&amp;ckCodingTable[[#This Row],[Div]]&amp;" "&amp;ckCodingTable[[#This Row],[prop_id]], ckCodingTable[[#This Row],[email]])</f>
        <v>miforbes@illinois.edu</v>
      </c>
      <c r="AC139" s="30">
        <v>43101</v>
      </c>
      <c r="AD139">
        <v>24</v>
      </c>
      <c r="AE139">
        <v>1</v>
      </c>
      <c r="AG139" s="122">
        <v>1</v>
      </c>
      <c r="AH139" t="s">
        <v>2258</v>
      </c>
      <c r="AI139" s="26">
        <v>8.6666666666666661</v>
      </c>
      <c r="AJ139" s="22">
        <v>43060.395833333336</v>
      </c>
      <c r="AL139">
        <v>3</v>
      </c>
      <c r="AN139" s="122">
        <v>3</v>
      </c>
      <c r="AO139" s="122"/>
      <c r="AP139" s="122"/>
      <c r="AQ139" s="122"/>
      <c r="AR139" s="123" t="str">
        <f>HYPERLINK("https://www.ejacket.nsf.gov/ej/showProposal.do?ID="&amp;ckCodingTable[[#This Row],[prop_id]],"eJ")</f>
        <v>eJ</v>
      </c>
      <c r="AS139" t="s">
        <v>173</v>
      </c>
      <c r="AT139" t="s">
        <v>2506</v>
      </c>
      <c r="AU139" t="b">
        <f>IF(ckCodingTable[[#This Row],[ILN]]="N",SUBSTITUTE(AT138," ","")&lt;&gt;SUBSTITUTE(ckCodingTable[[#This Row],[prop_titl_txt]]," ",""), FALSE)</f>
        <v>0</v>
      </c>
      <c r="AV139">
        <v>0</v>
      </c>
      <c r="AW139" s="124">
        <v>175000</v>
      </c>
      <c r="AX139" s="124">
        <v>175000</v>
      </c>
      <c r="AY139" s="124"/>
      <c r="AZ139" s="124">
        <v>8737</v>
      </c>
      <c r="BA139" s="124"/>
      <c r="BB139" s="124"/>
      <c r="BC139">
        <v>2</v>
      </c>
      <c r="BH139">
        <v>0</v>
      </c>
      <c r="BI139">
        <v>0</v>
      </c>
      <c r="BJ139">
        <v>0</v>
      </c>
      <c r="BK139">
        <v>0</v>
      </c>
      <c r="BL139" t="s">
        <v>2507</v>
      </c>
    </row>
    <row r="140" spans="1:64">
      <c r="A140" s="30"/>
      <c r="B140" s="30">
        <v>42956.695833333331</v>
      </c>
      <c r="C140" t="s">
        <v>808</v>
      </c>
      <c r="D140" t="s">
        <v>741</v>
      </c>
      <c r="E140" t="s">
        <v>526</v>
      </c>
      <c r="F140" t="s">
        <v>172</v>
      </c>
      <c r="G140" t="s">
        <v>170</v>
      </c>
      <c r="H140" s="21" t="s">
        <v>94</v>
      </c>
      <c r="I140" s="86">
        <v>1</v>
      </c>
      <c r="J140" s="86">
        <v>0</v>
      </c>
      <c r="K140" t="s">
        <v>809</v>
      </c>
      <c r="L140" t="s">
        <v>543</v>
      </c>
      <c r="M140" t="s">
        <v>2329</v>
      </c>
      <c r="N140" t="str">
        <f>IF(SUM(ckCodingTable[[#This Row],[NfmlPIs]:[NnonWhtAsnPIs]])&gt;0,"WMD","")</f>
        <v>WMD</v>
      </c>
      <c r="O140" t="b">
        <f>_xlfn.XOR(IFERROR(MATCH(ckCodingTable[[#This Row],[st_code]],EpscorTable[],0)&gt;0,FALSE),IFERROR(FIND("9150",ckCodingTable[[#This Row],[propPRCs]])&gt;0,FALSE))</f>
        <v>0</v>
      </c>
      <c r="P140" s="21" t="b">
        <f>_xlfn.XOR(ckCodingTable[[#This Row],[wmd]]&lt;&gt;"",IFERROR(FIND("9102",ckCodingTable[[#This Row],[propPRCs]])&gt;0,FALSE))</f>
        <v>1</v>
      </c>
      <c r="Q140" t="s">
        <v>2485</v>
      </c>
      <c r="S140" s="108">
        <f>S139+(ckCodingTable[[#This Row],[ILN]]&lt;"M")</f>
        <v>116</v>
      </c>
      <c r="T140" s="21" t="s">
        <v>96</v>
      </c>
      <c r="U140" t="s">
        <v>1945</v>
      </c>
      <c r="V140" s="7" t="str">
        <f>HYPERLINK("https://www.ejacket.nsf.gov/ej/showProposal.do?ID="&amp;ckCodingTable[[#This Row],[prop_id]],"eJ")</f>
        <v>eJ</v>
      </c>
      <c r="W140" t="s">
        <v>742</v>
      </c>
      <c r="X140" t="s">
        <v>1945</v>
      </c>
      <c r="Y140" t="s">
        <v>1946</v>
      </c>
      <c r="Z140" t="s">
        <v>2508</v>
      </c>
      <c r="AA140" t="s">
        <v>2509</v>
      </c>
      <c r="AB140" s="113" t="str">
        <f>HYPERLINK("mailto:"&amp;ckCodingTable[[#This Row],[email]]&amp;"&amp;subject=Your NSF Proposal:  "&amp;ckCodingTable[[#This Row],[Div]]&amp;" "&amp;ckCodingTable[[#This Row],[prop_id]], ckCodingTable[[#This Row],[email]])</f>
        <v>adres@asu.edu</v>
      </c>
      <c r="AC140" s="30">
        <v>43328</v>
      </c>
      <c r="AD140">
        <v>24</v>
      </c>
      <c r="AE140">
        <v>1</v>
      </c>
      <c r="AG140" s="122">
        <v>1</v>
      </c>
      <c r="AH140" t="s">
        <v>2510</v>
      </c>
      <c r="AI140" s="26">
        <v>5</v>
      </c>
      <c r="AJ140" s="22">
        <v>43058.972916666666</v>
      </c>
      <c r="AL140">
        <v>3</v>
      </c>
      <c r="AN140" s="122">
        <v>3</v>
      </c>
      <c r="AO140" s="122"/>
      <c r="AP140" s="122"/>
      <c r="AQ140" s="122"/>
      <c r="AR140" s="123" t="str">
        <f>HYPERLINK("https://www.ejacket.nsf.gov/ej/showProposal.do?ID="&amp;ckCodingTable[[#This Row],[prop_id]],"eJ")</f>
        <v>eJ</v>
      </c>
      <c r="AS140" t="s">
        <v>173</v>
      </c>
      <c r="AT140" t="s">
        <v>2511</v>
      </c>
      <c r="AU140" t="b">
        <f>IF(ckCodingTable[[#This Row],[ILN]]="N",SUBSTITUTE(AT139," ","")&lt;&gt;SUBSTITUTE(ckCodingTable[[#This Row],[prop_titl_txt]]," ",""), FALSE)</f>
        <v>0</v>
      </c>
      <c r="AV140">
        <v>0</v>
      </c>
      <c r="AW140" s="124">
        <v>175000</v>
      </c>
      <c r="AX140" s="124">
        <v>175000</v>
      </c>
      <c r="AY140" s="124"/>
      <c r="AZ140" s="124">
        <v>6581</v>
      </c>
      <c r="BA140" s="124"/>
      <c r="BB140" s="124"/>
      <c r="BC140">
        <v>3</v>
      </c>
      <c r="BH140">
        <v>0</v>
      </c>
      <c r="BI140">
        <v>1</v>
      </c>
      <c r="BJ140">
        <v>1</v>
      </c>
      <c r="BK140">
        <v>0</v>
      </c>
      <c r="BL140" t="s">
        <v>2512</v>
      </c>
    </row>
    <row r="141" spans="1:64">
      <c r="A141" s="30"/>
      <c r="B141" s="30">
        <v>42956.697222222225</v>
      </c>
      <c r="C141" t="s">
        <v>808</v>
      </c>
      <c r="D141" t="s">
        <v>741</v>
      </c>
      <c r="E141" t="s">
        <v>526</v>
      </c>
      <c r="F141" t="s">
        <v>172</v>
      </c>
      <c r="G141" t="s">
        <v>170</v>
      </c>
      <c r="H141" s="21" t="s">
        <v>94</v>
      </c>
      <c r="I141" s="86">
        <v>1</v>
      </c>
      <c r="J141" s="86">
        <v>0</v>
      </c>
      <c r="K141" t="s">
        <v>809</v>
      </c>
      <c r="L141" t="s">
        <v>540</v>
      </c>
      <c r="M141" t="s">
        <v>345</v>
      </c>
      <c r="N141" t="str">
        <f>IF(SUM(ckCodingTable[[#This Row],[NfmlPIs]:[NnonWhtAsnPIs]])&gt;0,"WMD","")</f>
        <v>WMD</v>
      </c>
      <c r="O141" t="b">
        <f>_xlfn.XOR(IFERROR(MATCH(ckCodingTable[[#This Row],[st_code]],EpscorTable[],0)&gt;0,FALSE),IFERROR(FIND("9150",ckCodingTable[[#This Row],[propPRCs]])&gt;0,FALSE))</f>
        <v>0</v>
      </c>
      <c r="P141" s="21" t="b">
        <f>_xlfn.XOR(ckCodingTable[[#This Row],[wmd]]&lt;&gt;"",IFERROR(FIND("9102",ckCodingTable[[#This Row],[propPRCs]])&gt;0,FALSE))</f>
        <v>1</v>
      </c>
      <c r="Q141" t="s">
        <v>816</v>
      </c>
      <c r="R141" s="22">
        <v>43076.608877314815</v>
      </c>
      <c r="S141" s="108">
        <f>S140+(ckCodingTable[[#This Row],[ILN]]&lt;"M")</f>
        <v>117</v>
      </c>
      <c r="T141" s="21" t="s">
        <v>96</v>
      </c>
      <c r="U141" t="s">
        <v>723</v>
      </c>
      <c r="V141" s="7" t="str">
        <f>HYPERLINK("https://www.ejacket.nsf.gov/ej/showProposal.do?ID="&amp;ckCodingTable[[#This Row],[prop_id]],"eJ")</f>
        <v>eJ</v>
      </c>
      <c r="W141" t="s">
        <v>742</v>
      </c>
      <c r="X141" t="s">
        <v>723</v>
      </c>
      <c r="Y141" t="s">
        <v>724</v>
      </c>
      <c r="Z141" t="s">
        <v>827</v>
      </c>
      <c r="AA141" t="s">
        <v>828</v>
      </c>
      <c r="AB141" s="113" t="str">
        <f>HYPERLINK("mailto:"&amp;ckCodingTable[[#This Row],[email]]&amp;"&amp;subject=Your NSF Proposal:  "&amp;ckCodingTable[[#This Row],[Div]]&amp;" "&amp;ckCodingTable[[#This Row],[prop_id]], ckCodingTable[[#This Row],[email]])</f>
        <v>shima.hm@tamu.edu</v>
      </c>
      <c r="AC141" s="30">
        <v>43252</v>
      </c>
      <c r="AD141">
        <v>24</v>
      </c>
      <c r="AE141">
        <v>1</v>
      </c>
      <c r="AG141" s="122">
        <v>1</v>
      </c>
      <c r="AH141" t="s">
        <v>829</v>
      </c>
      <c r="AI141" s="26">
        <v>5.333333333333333</v>
      </c>
      <c r="AJ141" s="22">
        <v>43032.675694444442</v>
      </c>
      <c r="AL141">
        <v>3</v>
      </c>
      <c r="AN141" s="122">
        <v>3</v>
      </c>
      <c r="AO141" s="122"/>
      <c r="AP141" s="122"/>
      <c r="AQ141" s="122"/>
      <c r="AR141" s="123" t="str">
        <f>HYPERLINK("https://www.ejacket.nsf.gov/ej/showProposal.do?ID="&amp;ckCodingTable[[#This Row],[prop_id]],"eJ")</f>
        <v>eJ</v>
      </c>
      <c r="AS141" t="s">
        <v>173</v>
      </c>
      <c r="AT141" t="s">
        <v>830</v>
      </c>
      <c r="AU141" t="b">
        <f>IF(ckCodingTable[[#This Row],[ILN]]="N",SUBSTITUTE(AT140," ","")&lt;&gt;SUBSTITUTE(ckCodingTable[[#This Row],[prop_titl_txt]]," ",""), FALSE)</f>
        <v>0</v>
      </c>
      <c r="AV141">
        <v>0</v>
      </c>
      <c r="AW141" s="124">
        <v>175000</v>
      </c>
      <c r="AX141" s="124">
        <v>175000</v>
      </c>
      <c r="AY141" s="124"/>
      <c r="AZ141" s="124"/>
      <c r="BA141" s="124"/>
      <c r="BB141" s="124"/>
      <c r="BC141">
        <v>4</v>
      </c>
      <c r="BH141">
        <v>2</v>
      </c>
      <c r="BI141">
        <v>0</v>
      </c>
      <c r="BJ141">
        <v>0</v>
      </c>
      <c r="BK141">
        <v>0</v>
      </c>
      <c r="BL141" t="s">
        <v>831</v>
      </c>
    </row>
    <row r="142" spans="1:64">
      <c r="A142" s="30"/>
      <c r="B142" s="30">
        <v>42956.697916666664</v>
      </c>
      <c r="C142" t="s">
        <v>808</v>
      </c>
      <c r="D142" t="s">
        <v>741</v>
      </c>
      <c r="E142" t="s">
        <v>526</v>
      </c>
      <c r="F142" t="s">
        <v>172</v>
      </c>
      <c r="G142" t="s">
        <v>170</v>
      </c>
      <c r="H142" s="21" t="s">
        <v>94</v>
      </c>
      <c r="I142" s="86">
        <v>1</v>
      </c>
      <c r="J142" s="86">
        <v>0</v>
      </c>
      <c r="K142" t="s">
        <v>809</v>
      </c>
      <c r="L142" t="s">
        <v>543</v>
      </c>
      <c r="M142" t="s">
        <v>2107</v>
      </c>
      <c r="N142" t="str">
        <f>IF(SUM(ckCodingTable[[#This Row],[NfmlPIs]:[NnonWhtAsnPIs]])&gt;0,"WMD","")</f>
        <v/>
      </c>
      <c r="O142" t="b">
        <f>_xlfn.XOR(IFERROR(MATCH(ckCodingTable[[#This Row],[st_code]],EpscorTable[],0)&gt;0,FALSE),IFERROR(FIND("9150",ckCodingTable[[#This Row],[propPRCs]])&gt;0,FALSE))</f>
        <v>0</v>
      </c>
      <c r="P142" s="21" t="b">
        <f>_xlfn.XOR(ckCodingTable[[#This Row],[wmd]]&lt;&gt;"",IFERROR(FIND("9102",ckCodingTable[[#This Row],[propPRCs]])&gt;0,FALSE))</f>
        <v>0</v>
      </c>
      <c r="Q142" t="s">
        <v>2485</v>
      </c>
      <c r="S142" s="108">
        <f>S141+(ckCodingTable[[#This Row],[ILN]]&lt;"M")</f>
        <v>118</v>
      </c>
      <c r="T142" s="21" t="s">
        <v>96</v>
      </c>
      <c r="U142" t="s">
        <v>1953</v>
      </c>
      <c r="V142" s="7" t="str">
        <f>HYPERLINK("https://www.ejacket.nsf.gov/ej/showProposal.do?ID="&amp;ckCodingTable[[#This Row],[prop_id]],"eJ")</f>
        <v>eJ</v>
      </c>
      <c r="W142" t="s">
        <v>742</v>
      </c>
      <c r="X142" t="s">
        <v>1953</v>
      </c>
      <c r="Y142" t="s">
        <v>1781</v>
      </c>
      <c r="Z142" t="s">
        <v>2446</v>
      </c>
      <c r="AA142" t="s">
        <v>2447</v>
      </c>
      <c r="AB142" s="113" t="str">
        <f>HYPERLINK("mailto:"&amp;ckCodingTable[[#This Row],[email]]&amp;"&amp;subject=Your NSF Proposal:  "&amp;ckCodingTable[[#This Row],[Div]]&amp;" "&amp;ckCodingTable[[#This Row],[prop_id]], ckCodingTable[[#This Row],[email]])</f>
        <v>gkatz@drexel.edu</v>
      </c>
      <c r="AC142" s="30">
        <v>43132</v>
      </c>
      <c r="AD142">
        <v>24</v>
      </c>
      <c r="AE142">
        <v>1</v>
      </c>
      <c r="AG142" s="122">
        <v>1</v>
      </c>
      <c r="AH142" t="s">
        <v>2495</v>
      </c>
      <c r="AI142" s="26">
        <v>7</v>
      </c>
      <c r="AJ142" s="22">
        <v>43060.397916666669</v>
      </c>
      <c r="AL142">
        <v>3</v>
      </c>
      <c r="AN142" s="122">
        <v>3</v>
      </c>
      <c r="AO142" s="122"/>
      <c r="AP142" s="122"/>
      <c r="AQ142" s="122"/>
      <c r="AR142" s="123" t="str">
        <f>HYPERLINK("https://www.ejacket.nsf.gov/ej/showProposal.do?ID="&amp;ckCodingTable[[#This Row],[prop_id]],"eJ")</f>
        <v>eJ</v>
      </c>
      <c r="AS142" t="s">
        <v>173</v>
      </c>
      <c r="AT142" t="s">
        <v>2513</v>
      </c>
      <c r="AU142" t="b">
        <f>IF(ckCodingTable[[#This Row],[ILN]]="N",SUBSTITUTE(AT141," ","")&lt;&gt;SUBSTITUTE(ckCodingTable[[#This Row],[prop_titl_txt]]," ",""), FALSE)</f>
        <v>0</v>
      </c>
      <c r="AV142">
        <v>0</v>
      </c>
      <c r="AW142" s="124">
        <v>174930</v>
      </c>
      <c r="AX142" s="124">
        <v>174930</v>
      </c>
      <c r="AY142" s="124"/>
      <c r="AZ142" s="124">
        <v>9000</v>
      </c>
      <c r="BA142" s="124"/>
      <c r="BB142" s="124"/>
      <c r="BC142">
        <v>2</v>
      </c>
      <c r="BH142">
        <v>0</v>
      </c>
      <c r="BI142">
        <v>0</v>
      </c>
      <c r="BJ142">
        <v>0</v>
      </c>
      <c r="BK142">
        <v>0</v>
      </c>
      <c r="BL142" t="s">
        <v>2449</v>
      </c>
    </row>
    <row r="143" spans="1:64">
      <c r="A143" s="30"/>
      <c r="B143" s="30">
        <v>42956.717361111114</v>
      </c>
      <c r="C143" t="s">
        <v>808</v>
      </c>
      <c r="D143" t="s">
        <v>741</v>
      </c>
      <c r="E143" t="s">
        <v>526</v>
      </c>
      <c r="F143" t="s">
        <v>172</v>
      </c>
      <c r="G143" t="s">
        <v>170</v>
      </c>
      <c r="H143" s="21" t="s">
        <v>94</v>
      </c>
      <c r="I143" s="86">
        <v>1</v>
      </c>
      <c r="J143" s="86">
        <v>0</v>
      </c>
      <c r="K143" t="s">
        <v>809</v>
      </c>
      <c r="L143" t="s">
        <v>540</v>
      </c>
      <c r="M143" t="s">
        <v>345</v>
      </c>
      <c r="N143" t="str">
        <f>IF(SUM(ckCodingTable[[#This Row],[NfmlPIs]:[NnonWhtAsnPIs]])&gt;0,"WMD","")</f>
        <v/>
      </c>
      <c r="O143" t="b">
        <f>_xlfn.XOR(IFERROR(MATCH(ckCodingTable[[#This Row],[st_code]],EpscorTable[],0)&gt;0,FALSE),IFERROR(FIND("9150",ckCodingTable[[#This Row],[propPRCs]])&gt;0,FALSE))</f>
        <v>0</v>
      </c>
      <c r="P143" s="21" t="b">
        <f>_xlfn.XOR(ckCodingTable[[#This Row],[wmd]]&lt;&gt;"",IFERROR(FIND("9102",ckCodingTable[[#This Row],[propPRCs]])&gt;0,FALSE))</f>
        <v>0</v>
      </c>
      <c r="Q143" t="s">
        <v>538</v>
      </c>
      <c r="R143" s="22">
        <v>43076.608923611115</v>
      </c>
      <c r="S143" s="108">
        <f>S142+(ckCodingTable[[#This Row],[ILN]]&lt;"M")</f>
        <v>119</v>
      </c>
      <c r="T143" s="21" t="s">
        <v>96</v>
      </c>
      <c r="U143" t="s">
        <v>734</v>
      </c>
      <c r="V143" s="7" t="str">
        <f>HYPERLINK("https://www.ejacket.nsf.gov/ej/showProposal.do?ID="&amp;ckCodingTable[[#This Row],[prop_id]],"eJ")</f>
        <v>eJ</v>
      </c>
      <c r="W143" t="s">
        <v>742</v>
      </c>
      <c r="X143" t="s">
        <v>734</v>
      </c>
      <c r="Y143" t="s">
        <v>735</v>
      </c>
      <c r="Z143" t="s">
        <v>832</v>
      </c>
      <c r="AA143" t="s">
        <v>833</v>
      </c>
      <c r="AB143" s="113" t="str">
        <f>HYPERLINK("mailto:"&amp;ckCodingTable[[#This Row],[email]]&amp;"&amp;subject=Your NSF Proposal:  "&amp;ckCodingTable[[#This Row],[Div]]&amp;" "&amp;ckCodingTable[[#This Row],[prop_id]], ckCodingTable[[#This Row],[email]])</f>
        <v>harsha@smu.edu</v>
      </c>
      <c r="AC143" s="30">
        <v>43101</v>
      </c>
      <c r="AD143">
        <v>24</v>
      </c>
      <c r="AE143">
        <v>1</v>
      </c>
      <c r="AG143" s="122">
        <v>1</v>
      </c>
      <c r="AH143" t="s">
        <v>834</v>
      </c>
      <c r="AI143" s="26">
        <v>4.666666666666667</v>
      </c>
      <c r="AJ143" s="22">
        <v>43031.75</v>
      </c>
      <c r="AL143">
        <v>3</v>
      </c>
      <c r="AN143" s="122">
        <v>3</v>
      </c>
      <c r="AO143" s="122"/>
      <c r="AP143" s="122"/>
      <c r="AQ143" s="122"/>
      <c r="AR143" s="123" t="str">
        <f>HYPERLINK("https://www.ejacket.nsf.gov/ej/showProposal.do?ID="&amp;ckCodingTable[[#This Row],[prop_id]],"eJ")</f>
        <v>eJ</v>
      </c>
      <c r="AS143" t="s">
        <v>173</v>
      </c>
      <c r="AT143" t="s">
        <v>835</v>
      </c>
      <c r="AU143" t="b">
        <f>IF(ckCodingTable[[#This Row],[ILN]]="N",SUBSTITUTE(AT142," ","")&lt;&gt;SUBSTITUTE(ckCodingTable[[#This Row],[prop_titl_txt]]," ",""), FALSE)</f>
        <v>0</v>
      </c>
      <c r="AV143">
        <v>0</v>
      </c>
      <c r="AW143" s="124">
        <v>175000</v>
      </c>
      <c r="AX143" s="124">
        <v>175000</v>
      </c>
      <c r="AY143" s="124"/>
      <c r="AZ143" s="124"/>
      <c r="BA143" s="124"/>
      <c r="BB143" s="124"/>
      <c r="BC143">
        <v>4</v>
      </c>
      <c r="BH143">
        <v>0</v>
      </c>
      <c r="BI143">
        <v>0</v>
      </c>
      <c r="BJ143">
        <v>0</v>
      </c>
      <c r="BK143">
        <v>0</v>
      </c>
      <c r="BL143" t="s">
        <v>836</v>
      </c>
    </row>
    <row r="144" spans="1:64">
      <c r="A144" s="30"/>
      <c r="B144" s="30">
        <v>42956.746527777781</v>
      </c>
      <c r="C144" t="s">
        <v>808</v>
      </c>
      <c r="D144" t="s">
        <v>741</v>
      </c>
      <c r="E144" t="s">
        <v>526</v>
      </c>
      <c r="F144" t="s">
        <v>172</v>
      </c>
      <c r="G144" t="s">
        <v>170</v>
      </c>
      <c r="H144" s="21" t="s">
        <v>94</v>
      </c>
      <c r="I144" s="86">
        <v>1</v>
      </c>
      <c r="J144" s="86">
        <v>0</v>
      </c>
      <c r="K144" t="s">
        <v>809</v>
      </c>
      <c r="L144" t="s">
        <v>1530</v>
      </c>
      <c r="M144" t="s">
        <v>345</v>
      </c>
      <c r="N144" t="str">
        <f>IF(SUM(ckCodingTable[[#This Row],[NfmlPIs]:[NnonWhtAsnPIs]])&gt;0,"WMD","")</f>
        <v/>
      </c>
      <c r="O144" t="b">
        <f>_xlfn.XOR(IFERROR(MATCH(ckCodingTable[[#This Row],[st_code]],EpscorTable[],0)&gt;0,FALSE),IFERROR(FIND("9150",ckCodingTable[[#This Row],[propPRCs]])&gt;0,FALSE))</f>
        <v>0</v>
      </c>
      <c r="P144" s="21" t="b">
        <f>_xlfn.XOR(ckCodingTable[[#This Row],[wmd]]&lt;&gt;"",IFERROR(FIND("9102",ckCodingTable[[#This Row],[propPRCs]])&gt;0,FALSE))</f>
        <v>0</v>
      </c>
      <c r="Q144" t="s">
        <v>810</v>
      </c>
      <c r="S144" s="108">
        <f>S143+(ckCodingTable[[#This Row],[ILN]]&lt;"M")</f>
        <v>120</v>
      </c>
      <c r="T144" s="21" t="s">
        <v>96</v>
      </c>
      <c r="U144" t="s">
        <v>1960</v>
      </c>
      <c r="V144" s="7" t="str">
        <f>HYPERLINK("https://www.ejacket.nsf.gov/ej/showProposal.do?ID="&amp;ckCodingTable[[#This Row],[prop_id]],"eJ")</f>
        <v>eJ</v>
      </c>
      <c r="W144" t="s">
        <v>742</v>
      </c>
      <c r="X144" t="s">
        <v>1960</v>
      </c>
      <c r="Y144" t="s">
        <v>627</v>
      </c>
      <c r="Z144" t="s">
        <v>932</v>
      </c>
      <c r="AA144" t="s">
        <v>2514</v>
      </c>
      <c r="AB144" s="113" t="str">
        <f>HYPERLINK("mailto:"&amp;ckCodingTable[[#This Row],[email]]&amp;"&amp;subject=Your NSF Proposal:  "&amp;ckCodingTable[[#This Row],[Div]]&amp;" "&amp;ckCodingTable[[#This Row],[prop_id]], ckCodingTable[[#This Row],[email]])</f>
        <v>lchen49@central.uh.edu</v>
      </c>
      <c r="AC144" s="30">
        <v>43252</v>
      </c>
      <c r="AD144">
        <v>24</v>
      </c>
      <c r="AE144">
        <v>1</v>
      </c>
      <c r="AG144" s="122">
        <v>1</v>
      </c>
      <c r="AH144" t="s">
        <v>2189</v>
      </c>
      <c r="AI144" s="26">
        <v>6</v>
      </c>
      <c r="AJ144" s="22">
        <v>43031.734027777777</v>
      </c>
      <c r="AL144">
        <v>3</v>
      </c>
      <c r="AN144" s="122">
        <v>3</v>
      </c>
      <c r="AO144" s="122"/>
      <c r="AP144" s="122"/>
      <c r="AQ144" s="122"/>
      <c r="AR144" s="123" t="str">
        <f>HYPERLINK("https://www.ejacket.nsf.gov/ej/showProposal.do?ID="&amp;ckCodingTable[[#This Row],[prop_id]],"eJ")</f>
        <v>eJ</v>
      </c>
      <c r="AS144" t="s">
        <v>173</v>
      </c>
      <c r="AT144" t="s">
        <v>2515</v>
      </c>
      <c r="AU144" t="b">
        <f>IF(ckCodingTable[[#This Row],[ILN]]="N",SUBSTITUTE(AT143," ","")&lt;&gt;SUBSTITUTE(ckCodingTable[[#This Row],[prop_titl_txt]]," ",""), FALSE)</f>
        <v>0</v>
      </c>
      <c r="AV144">
        <v>0</v>
      </c>
      <c r="AW144" s="124">
        <v>148477</v>
      </c>
      <c r="AX144" s="124">
        <v>148477</v>
      </c>
      <c r="AY144" s="124"/>
      <c r="AZ144" s="124">
        <v>7000</v>
      </c>
      <c r="BA144" s="124"/>
      <c r="BB144" s="124"/>
      <c r="BC144">
        <v>3</v>
      </c>
      <c r="BH144">
        <v>0</v>
      </c>
      <c r="BI144">
        <v>0</v>
      </c>
      <c r="BJ144">
        <v>0</v>
      </c>
      <c r="BK144">
        <v>0</v>
      </c>
      <c r="BL144" t="s">
        <v>2516</v>
      </c>
    </row>
  </sheetData>
  <conditionalFormatting sqref="A2:BL144">
    <cfRule type="expression" dxfId="81" priority="6">
      <formula>MOD($S2,2)</formula>
    </cfRule>
  </conditionalFormatting>
  <conditionalFormatting sqref="AL2:AM144">
    <cfRule type="expression" dxfId="80" priority="5">
      <formula>AND($T2&lt;"M",$AL2&lt;$AM2+3)</formula>
    </cfRule>
  </conditionalFormatting>
  <conditionalFormatting sqref="C2:Q144">
    <cfRule type="expression" dxfId="79" priority="4">
      <formula>AND($T2="N", M2&lt;&gt;M1)</formula>
    </cfRule>
  </conditionalFormatting>
  <conditionalFormatting sqref="AT2:AT144">
    <cfRule type="expression" dxfId="78" priority="3">
      <formula>$AU2</formula>
    </cfRule>
  </conditionalFormatting>
  <conditionalFormatting sqref="I2:J144">
    <cfRule type="expression" dxfId="77" priority="2">
      <formula>($J2+$I2)&lt;&gt;1</formula>
    </cfRule>
  </conditionalFormatting>
  <conditionalFormatting sqref="M2:N144">
    <cfRule type="expression" dxfId="76"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144"/>
  <sheetViews>
    <sheetView tabSelected="1" topLeftCell="AM1" workbookViewId="0">
      <selection activeCell="AV1" sqref="AV1"/>
    </sheetView>
  </sheetViews>
  <sheetFormatPr defaultRowHeight="14.6"/>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customWidth="1"/>
    <col min="34" max="34" width="9.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c r="A1" s="30" t="s">
        <v>87</v>
      </c>
      <c r="B1" s="30" t="s">
        <v>7</v>
      </c>
      <c r="C1" t="s">
        <v>8</v>
      </c>
      <c r="D1" t="s">
        <v>5</v>
      </c>
      <c r="E1" t="s">
        <v>4</v>
      </c>
      <c r="F1" t="s">
        <v>91</v>
      </c>
      <c r="G1" t="s">
        <v>166</v>
      </c>
      <c r="H1" t="s">
        <v>164</v>
      </c>
      <c r="I1" t="s">
        <v>415</v>
      </c>
      <c r="J1" t="s">
        <v>92</v>
      </c>
      <c r="K1" t="s">
        <v>17</v>
      </c>
      <c r="L1" s="22" t="s">
        <v>16</v>
      </c>
      <c r="M1" s="110" t="s">
        <v>102</v>
      </c>
      <c r="N1" t="s">
        <v>88</v>
      </c>
      <c r="O1" t="s">
        <v>9</v>
      </c>
      <c r="P1" t="s">
        <v>1</v>
      </c>
      <c r="Q1" t="s">
        <v>144</v>
      </c>
      <c r="R1" t="s">
        <v>0</v>
      </c>
      <c r="S1" t="s">
        <v>10</v>
      </c>
      <c r="T1" t="s">
        <v>18</v>
      </c>
      <c r="U1" t="s">
        <v>317</v>
      </c>
      <c r="V1" t="s">
        <v>93</v>
      </c>
      <c r="W1" s="110" t="s">
        <v>131</v>
      </c>
      <c r="X1" s="30" t="s">
        <v>19</v>
      </c>
      <c r="Y1" t="s">
        <v>20</v>
      </c>
      <c r="Z1" t="s">
        <v>89</v>
      </c>
      <c r="AA1" s="21" t="s">
        <v>440</v>
      </c>
      <c r="AB1" s="21" t="s">
        <v>441</v>
      </c>
      <c r="AC1" t="s">
        <v>90</v>
      </c>
      <c r="AD1" s="21" t="s">
        <v>442</v>
      </c>
      <c r="AE1" s="21" t="s">
        <v>132</v>
      </c>
      <c r="AF1" s="13" t="s">
        <v>21</v>
      </c>
      <c r="AG1" s="21" t="s">
        <v>326</v>
      </c>
      <c r="AH1" s="1" t="s">
        <v>22</v>
      </c>
      <c r="AI1" s="1" t="s">
        <v>327</v>
      </c>
      <c r="AJ1" s="1" t="s">
        <v>328</v>
      </c>
      <c r="AK1" s="1" t="s">
        <v>329</v>
      </c>
      <c r="AL1" s="1" t="s">
        <v>330</v>
      </c>
      <c r="AM1" s="21" t="s">
        <v>331</v>
      </c>
      <c r="AN1" s="21" t="s">
        <v>332</v>
      </c>
      <c r="AO1" s="21" t="s">
        <v>333</v>
      </c>
      <c r="AP1" s="21" t="s">
        <v>334</v>
      </c>
      <c r="AQ1" s="21" t="s">
        <v>335</v>
      </c>
      <c r="AR1" t="s">
        <v>167</v>
      </c>
      <c r="AS1" s="21" t="s">
        <v>422</v>
      </c>
      <c r="AT1" s="21" t="s">
        <v>469</v>
      </c>
      <c r="AU1" s="21" t="s">
        <v>133</v>
      </c>
      <c r="AV1" t="s">
        <v>36</v>
      </c>
      <c r="AW1" t="s">
        <v>454</v>
      </c>
      <c r="AX1" t="s">
        <v>146</v>
      </c>
      <c r="AY1"/>
      <c r="AZ1"/>
      <c r="BA1"/>
      <c r="BB1"/>
      <c r="BC1"/>
      <c r="BD1"/>
      <c r="BL1"/>
      <c r="BP1"/>
    </row>
    <row r="2" spans="1:68" ht="14.6" customHeight="1">
      <c r="A2" s="30">
        <v>42954.663657407407</v>
      </c>
      <c r="B2" s="30">
        <v>42807.46597222222</v>
      </c>
      <c r="C2" t="s">
        <v>1965</v>
      </c>
      <c r="D2" t="s">
        <v>741</v>
      </c>
      <c r="E2" t="s">
        <v>901</v>
      </c>
      <c r="F2" t="s">
        <v>543</v>
      </c>
      <c r="G2" s="8" t="s">
        <v>1966</v>
      </c>
      <c r="H2" s="8" t="s">
        <v>170</v>
      </c>
      <c r="I2" s="8" t="s">
        <v>2709</v>
      </c>
      <c r="J2" t="s">
        <v>94</v>
      </c>
      <c r="K2" t="s">
        <v>1967</v>
      </c>
      <c r="L2" s="22">
        <v>42951.478125000001</v>
      </c>
      <c r="M2" s="109">
        <f xml:space="preserve"> M1+(ckAwdTable[ILN]&lt;"M")</f>
        <v>1</v>
      </c>
      <c r="N2" t="s">
        <v>96</v>
      </c>
      <c r="O2" t="s">
        <v>917</v>
      </c>
      <c r="P2" s="15" t="str">
        <f>HYPERLINK("https://www.ejacket.nsf.gov/ej/showProposal.do?ID="&amp;ckAwdTable[[#This Row],[prop_id]],"eJ")</f>
        <v>eJ</v>
      </c>
      <c r="Q2" s="8" t="s">
        <v>742</v>
      </c>
      <c r="R2" t="s">
        <v>917</v>
      </c>
      <c r="S2" t="s">
        <v>918</v>
      </c>
      <c r="T2" t="s">
        <v>1969</v>
      </c>
      <c r="U2" s="8" t="s">
        <v>1970</v>
      </c>
      <c r="V2" t="s">
        <v>258</v>
      </c>
      <c r="W2" s="113" t="str">
        <f>HYPERLINK("mailto:"&amp; ckAwdTable[[#This Row],[email]]&amp;"&amp;subject=Your NSF Proposal:  "&amp;ckAwdTable[[#This Row],[prop_id]], ckAwdTable[[#This Row],[email]])</f>
        <v>mshub@ccny.cuny.edu</v>
      </c>
      <c r="X2" s="30">
        <v>42972</v>
      </c>
      <c r="Y2">
        <v>36</v>
      </c>
      <c r="AA2" s="21" t="s">
        <v>13</v>
      </c>
      <c r="AB2" s="21" t="s">
        <v>424</v>
      </c>
      <c r="AC2"/>
      <c r="AD2" s="21" t="s">
        <v>13</v>
      </c>
      <c r="AF2" s="13">
        <v>1485814</v>
      </c>
      <c r="AG2" s="21">
        <v>0</v>
      </c>
      <c r="AH2" s="1">
        <v>1485814</v>
      </c>
      <c r="AI2" s="1"/>
      <c r="AJ2" s="1"/>
      <c r="AK2" s="1">
        <v>198926</v>
      </c>
      <c r="AM2" s="21">
        <v>9</v>
      </c>
      <c r="AN2" s="21">
        <v>15</v>
      </c>
      <c r="AO2" s="21">
        <v>1.95</v>
      </c>
      <c r="AP2" s="21"/>
      <c r="AQ2" s="21"/>
      <c r="AR2" s="8" t="s">
        <v>1971</v>
      </c>
      <c r="AS2" s="21" t="s">
        <v>1989</v>
      </c>
      <c r="AT2" s="21" t="str">
        <f>IFERROR(IF(FIND("?",ckAwdTable[abst_narr_txt]),SummarizeQuestMarks(ckAwdTable[abst_narr_txt]),""),"")</f>
        <v/>
      </c>
      <c r="AU2" s="119"/>
      <c r="AV2" t="s">
        <v>1972</v>
      </c>
      <c r="AW2" t="b">
        <f>AND(ckAwdTable[[#This Row],[ILN]]&gt;"M", SUBSTITUTE(ckAwdTable[[#This Row],[prop_titl_txt]]," ","")&lt;&gt;SUBSTITUTE(AV1," ",""))</f>
        <v>0</v>
      </c>
      <c r="AX2" s="8" t="s">
        <v>1973</v>
      </c>
      <c r="AY2"/>
      <c r="AZ2"/>
      <c r="BA2"/>
      <c r="BB2"/>
      <c r="BC2"/>
      <c r="BD2"/>
      <c r="BL2"/>
      <c r="BP2"/>
    </row>
    <row r="3" spans="1:68">
      <c r="A3" s="30">
        <v>42930.63244212963</v>
      </c>
      <c r="B3" s="30">
        <v>42807.490277777775</v>
      </c>
      <c r="C3" t="s">
        <v>1965</v>
      </c>
      <c r="D3" t="s">
        <v>741</v>
      </c>
      <c r="E3" t="s">
        <v>901</v>
      </c>
      <c r="F3" t="s">
        <v>948</v>
      </c>
      <c r="G3" s="8" t="s">
        <v>1974</v>
      </c>
      <c r="H3" s="8" t="s">
        <v>170</v>
      </c>
      <c r="I3" s="8" t="s">
        <v>2709</v>
      </c>
      <c r="J3" t="s">
        <v>94</v>
      </c>
      <c r="K3" t="s">
        <v>1967</v>
      </c>
      <c r="L3" s="22">
        <v>42929.447754629633</v>
      </c>
      <c r="M3" s="109">
        <f xml:space="preserve"> M2+(ckAwdTable[ILN]&lt;"M")</f>
        <v>2</v>
      </c>
      <c r="N3" t="s">
        <v>96</v>
      </c>
      <c r="O3" t="s">
        <v>940</v>
      </c>
      <c r="P3" s="15" t="str">
        <f>HYPERLINK("https://www.ejacket.nsf.gov/ej/showProposal.do?ID="&amp;ckAwdTable[[#This Row],[prop_id]],"eJ")</f>
        <v>eJ</v>
      </c>
      <c r="Q3" s="8" t="s">
        <v>742</v>
      </c>
      <c r="R3" t="s">
        <v>940</v>
      </c>
      <c r="S3" t="s">
        <v>941</v>
      </c>
      <c r="T3" t="s">
        <v>1975</v>
      </c>
      <c r="U3" s="8" t="s">
        <v>244</v>
      </c>
      <c r="V3" t="s">
        <v>255</v>
      </c>
      <c r="W3" s="113" t="str">
        <f>HYPERLINK("mailto:"&amp; ckAwdTable[[#This Row],[email]]&amp;"&amp;subject=Your NSF Proposal:  "&amp;ckAwdTable[[#This Row],[prop_id]], ckAwdTable[[#This Row],[email]])</f>
        <v>sham@cs.washington.edu</v>
      </c>
      <c r="X3" s="30">
        <v>42994</v>
      </c>
      <c r="Y3">
        <v>36</v>
      </c>
      <c r="AA3" s="21" t="s">
        <v>13</v>
      </c>
      <c r="AB3" s="21" t="s">
        <v>424</v>
      </c>
      <c r="AC3"/>
      <c r="AD3" s="21" t="s">
        <v>13</v>
      </c>
      <c r="AE3" s="21" t="s">
        <v>2710</v>
      </c>
      <c r="AF3" s="124">
        <v>1500000</v>
      </c>
      <c r="AG3" s="21">
        <v>0</v>
      </c>
      <c r="AH3" s="1">
        <v>1500000</v>
      </c>
      <c r="AI3" s="1"/>
      <c r="AJ3" s="1">
        <v>66000</v>
      </c>
      <c r="AK3" s="1">
        <v>144000</v>
      </c>
      <c r="AM3" s="21">
        <v>14</v>
      </c>
      <c r="AN3" s="21">
        <v>15</v>
      </c>
      <c r="AO3" s="21">
        <v>6.75</v>
      </c>
      <c r="AP3" s="21"/>
      <c r="AQ3" s="21"/>
      <c r="AR3" s="8" t="s">
        <v>1977</v>
      </c>
      <c r="AS3" s="21" t="s">
        <v>1989</v>
      </c>
      <c r="AT3" s="21" t="str">
        <f>IFERROR(IF(FIND("?",ckAwdTable[abst_narr_txt]),SummarizeQuestMarks(ckAwdTable[abst_narr_txt]),""),"")</f>
        <v/>
      </c>
      <c r="AU3" s="21" t="s">
        <v>950</v>
      </c>
      <c r="AV3" t="s">
        <v>1978</v>
      </c>
      <c r="AW3" t="b">
        <f>AND(ckAwdTable[[#This Row],[ILN]]&gt;"M", SUBSTITUTE(ckAwdTable[[#This Row],[prop_titl_txt]]," ","")&lt;&gt;SUBSTITUTE(AV2," ",""))</f>
        <v>0</v>
      </c>
      <c r="AX3" s="8" t="s">
        <v>1979</v>
      </c>
      <c r="AY3"/>
      <c r="AZ3"/>
      <c r="BA3"/>
      <c r="BB3"/>
      <c r="BC3"/>
      <c r="BD3"/>
      <c r="BL3"/>
      <c r="BP3"/>
    </row>
    <row r="4" spans="1:68">
      <c r="A4" s="30">
        <v>42957.678148148145</v>
      </c>
      <c r="B4" s="30">
        <v>42807.553472222222</v>
      </c>
      <c r="C4" t="s">
        <v>1965</v>
      </c>
      <c r="D4" t="s">
        <v>741</v>
      </c>
      <c r="E4" t="s">
        <v>901</v>
      </c>
      <c r="F4" t="s">
        <v>540</v>
      </c>
      <c r="G4" s="8" t="s">
        <v>1966</v>
      </c>
      <c r="H4" s="8" t="s">
        <v>170</v>
      </c>
      <c r="I4" s="8" t="s">
        <v>2709</v>
      </c>
      <c r="J4" t="s">
        <v>94</v>
      </c>
      <c r="K4" t="s">
        <v>1967</v>
      </c>
      <c r="L4" s="22">
        <v>42914.640243055554</v>
      </c>
      <c r="M4" s="109">
        <f xml:space="preserve"> M3+(ckAwdTable[ILN]&lt;"M")</f>
        <v>3</v>
      </c>
      <c r="N4" t="s">
        <v>1981</v>
      </c>
      <c r="O4" t="s">
        <v>972</v>
      </c>
      <c r="P4" s="15" t="str">
        <f>HYPERLINK("https://www.ejacket.nsf.gov/ej/showProposal.do?ID="&amp;ckAwdTable[[#This Row],[prop_id]],"eJ")</f>
        <v>eJ</v>
      </c>
      <c r="Q4" s="8" t="s">
        <v>742</v>
      </c>
      <c r="R4" t="s">
        <v>972</v>
      </c>
      <c r="S4" t="s">
        <v>973</v>
      </c>
      <c r="T4" t="s">
        <v>1982</v>
      </c>
      <c r="U4" s="8" t="s">
        <v>1983</v>
      </c>
      <c r="V4" t="s">
        <v>1980</v>
      </c>
      <c r="W4" s="113" t="str">
        <f>HYPERLINK("mailto:"&amp; ckAwdTable[[#This Row],[email]]&amp;"&amp;subject=Your NSF Proposal:  "&amp;ckAwdTable[[#This Row],[prop_id]], ckAwdTable[[#This Row],[email]])</f>
        <v>ccraini1@jhu.edu</v>
      </c>
      <c r="X4" s="30">
        <v>42948</v>
      </c>
      <c r="Y4">
        <v>36</v>
      </c>
      <c r="AA4" s="21" t="s">
        <v>13</v>
      </c>
      <c r="AB4" s="21" t="s">
        <v>424</v>
      </c>
      <c r="AC4"/>
      <c r="AD4" s="21" t="s">
        <v>13</v>
      </c>
      <c r="AF4" s="124">
        <v>748969</v>
      </c>
      <c r="AG4" s="21">
        <v>0</v>
      </c>
      <c r="AH4" s="1">
        <v>748969</v>
      </c>
      <c r="AI4" s="1"/>
      <c r="AJ4" s="1"/>
      <c r="AK4" s="1">
        <v>165000</v>
      </c>
      <c r="AM4" s="21"/>
      <c r="AN4" s="21">
        <v>6</v>
      </c>
      <c r="AO4" s="21"/>
      <c r="AP4" s="21"/>
      <c r="AQ4" s="21">
        <v>9</v>
      </c>
      <c r="AR4" s="8" t="s">
        <v>1971</v>
      </c>
      <c r="AS4" s="21" t="s">
        <v>1989</v>
      </c>
      <c r="AT4" s="21" t="str">
        <f>IFERROR(IF(FIND("?",ckAwdTable[abst_narr_txt]),SummarizeQuestMarks(ckAwdTable[abst_narr_txt]),""),"")</f>
        <v/>
      </c>
      <c r="AU4" s="21"/>
      <c r="AV4" t="s">
        <v>1985</v>
      </c>
      <c r="AW4" t="b">
        <f>AND(ckAwdTable[[#This Row],[ILN]]&gt;"M", SUBSTITUTE(ckAwdTable[[#This Row],[prop_titl_txt]]," ","")&lt;&gt;SUBSTITUTE(AV3," ",""))</f>
        <v>0</v>
      </c>
      <c r="AX4" s="8" t="s">
        <v>1986</v>
      </c>
      <c r="AY4"/>
      <c r="AZ4"/>
      <c r="BA4"/>
      <c r="BB4"/>
      <c r="BC4"/>
      <c r="BD4"/>
      <c r="BL4"/>
      <c r="BP4"/>
    </row>
    <row r="5" spans="1:68">
      <c r="A5" s="30">
        <v>42957.678148148145</v>
      </c>
      <c r="B5" s="30">
        <v>42807.668055555558</v>
      </c>
      <c r="C5" t="s">
        <v>1965</v>
      </c>
      <c r="D5" t="s">
        <v>741</v>
      </c>
      <c r="E5" t="s">
        <v>901</v>
      </c>
      <c r="F5" t="s">
        <v>540</v>
      </c>
      <c r="G5" s="8" t="s">
        <v>1966</v>
      </c>
      <c r="H5" s="8" t="s">
        <v>170</v>
      </c>
      <c r="I5" s="8" t="s">
        <v>2709</v>
      </c>
      <c r="J5" t="s">
        <v>94</v>
      </c>
      <c r="K5" t="s">
        <v>1967</v>
      </c>
      <c r="L5" s="22">
        <v>42914.640243055554</v>
      </c>
      <c r="M5" s="109">
        <f xml:space="preserve"> M4+(ckAwdTable[ILN]&lt;"M")</f>
        <v>3</v>
      </c>
      <c r="N5" t="s">
        <v>1989</v>
      </c>
      <c r="O5" t="s">
        <v>972</v>
      </c>
      <c r="P5" s="15" t="str">
        <f>HYPERLINK("https://www.ejacket.nsf.gov/ej/showProposal.do?ID="&amp;ckAwdTable[[#This Row],[prop_id]],"eJ")</f>
        <v>eJ</v>
      </c>
      <c r="Q5" s="8" t="s">
        <v>742</v>
      </c>
      <c r="R5" t="s">
        <v>1990</v>
      </c>
      <c r="S5" t="s">
        <v>1991</v>
      </c>
      <c r="T5" t="s">
        <v>1992</v>
      </c>
      <c r="U5" s="8" t="s">
        <v>1993</v>
      </c>
      <c r="V5" t="s">
        <v>1988</v>
      </c>
      <c r="W5" s="113" t="str">
        <f>HYPERLINK("mailto:"&amp; ckAwdTable[[#This Row],[email]]&amp;"&amp;subject=Your NSF Proposal:  "&amp;ckAwdTable[[#This Row],[prop_id]], ckAwdTable[[#This Row],[email]])</f>
        <v>ekaterina.smirnova@mso.umt.edu</v>
      </c>
      <c r="X5" s="30">
        <v>42948</v>
      </c>
      <c r="Y5">
        <v>36</v>
      </c>
      <c r="AA5" s="21" t="s">
        <v>13</v>
      </c>
      <c r="AB5" s="21" t="s">
        <v>424</v>
      </c>
      <c r="AC5"/>
      <c r="AD5" s="21" t="s">
        <v>13</v>
      </c>
      <c r="AF5" s="124">
        <v>374812</v>
      </c>
      <c r="AG5" s="21">
        <v>0</v>
      </c>
      <c r="AH5" s="1">
        <v>374812</v>
      </c>
      <c r="AI5" s="1"/>
      <c r="AJ5" s="1"/>
      <c r="AM5" s="21">
        <v>6</v>
      </c>
      <c r="AN5" s="21">
        <v>3</v>
      </c>
      <c r="AO5" s="21">
        <v>6</v>
      </c>
      <c r="AP5" s="21"/>
      <c r="AQ5" s="21"/>
      <c r="AR5" s="8" t="s">
        <v>1971</v>
      </c>
      <c r="AS5" s="21" t="s">
        <v>1989</v>
      </c>
      <c r="AT5" s="21" t="str">
        <f>IFERROR(IF(FIND("?",ckAwdTable[abst_narr_txt]),SummarizeQuestMarks(ckAwdTable[abst_narr_txt]),""),"")</f>
        <v/>
      </c>
      <c r="AU5" s="21"/>
      <c r="AV5" t="s">
        <v>1985</v>
      </c>
      <c r="AW5" t="b">
        <f>AND(ckAwdTable[[#This Row],[ILN]]&gt;"M", SUBSTITUTE(ckAwdTable[[#This Row],[prop_titl_txt]]," ","")&lt;&gt;SUBSTITUTE(AV4," ",""))</f>
        <v>0</v>
      </c>
      <c r="AX5" s="8" t="s">
        <v>1994</v>
      </c>
      <c r="AY5"/>
      <c r="AZ5"/>
      <c r="BA5"/>
      <c r="BB5"/>
      <c r="BC5"/>
      <c r="BD5"/>
      <c r="BL5"/>
      <c r="BP5"/>
    </row>
    <row r="6" spans="1:68">
      <c r="A6" s="30">
        <v>42957.678148148145</v>
      </c>
      <c r="B6" s="30">
        <v>42807.717361111114</v>
      </c>
      <c r="C6" t="s">
        <v>1965</v>
      </c>
      <c r="D6" t="s">
        <v>741</v>
      </c>
      <c r="E6" t="s">
        <v>901</v>
      </c>
      <c r="F6" t="s">
        <v>540</v>
      </c>
      <c r="G6" s="8" t="s">
        <v>1966</v>
      </c>
      <c r="H6" s="8" t="s">
        <v>170</v>
      </c>
      <c r="I6" s="8" t="s">
        <v>2709</v>
      </c>
      <c r="J6" t="s">
        <v>94</v>
      </c>
      <c r="K6" t="s">
        <v>1967</v>
      </c>
      <c r="L6" s="22">
        <v>42914.640243055554</v>
      </c>
      <c r="M6" s="109">
        <f xml:space="preserve"> M5+(ckAwdTable[ILN]&lt;"M")</f>
        <v>3</v>
      </c>
      <c r="N6" t="s">
        <v>1989</v>
      </c>
      <c r="O6" t="s">
        <v>972</v>
      </c>
      <c r="P6" s="15" t="str">
        <f>HYPERLINK("https://www.ejacket.nsf.gov/ej/showProposal.do?ID="&amp;ckAwdTable[[#This Row],[prop_id]],"eJ")</f>
        <v>eJ</v>
      </c>
      <c r="Q6" s="8" t="s">
        <v>742</v>
      </c>
      <c r="R6" t="s">
        <v>1996</v>
      </c>
      <c r="S6" t="s">
        <v>1997</v>
      </c>
      <c r="T6" t="s">
        <v>1998</v>
      </c>
      <c r="U6" s="8" t="s">
        <v>1999</v>
      </c>
      <c r="V6" t="s">
        <v>125</v>
      </c>
      <c r="W6" s="113" t="str">
        <f>HYPERLINK("mailto:"&amp; ckAwdTable[[#This Row],[email]]&amp;"&amp;subject=Your NSF Proposal:  "&amp;ckAwdTable[[#This Row],[prop_id]], ckAwdTable[[#This Row],[email]])</f>
        <v>fjafari@uwyo.edu</v>
      </c>
      <c r="X6" s="30">
        <v>42948</v>
      </c>
      <c r="Y6">
        <v>36</v>
      </c>
      <c r="AA6" s="21" t="s">
        <v>13</v>
      </c>
      <c r="AB6" s="21" t="s">
        <v>424</v>
      </c>
      <c r="AC6"/>
      <c r="AD6" s="21" t="s">
        <v>13</v>
      </c>
      <c r="AF6" s="124">
        <v>372322</v>
      </c>
      <c r="AG6" s="21">
        <v>0</v>
      </c>
      <c r="AH6" s="1">
        <v>372322</v>
      </c>
      <c r="AI6" s="1"/>
      <c r="AJ6" s="1"/>
      <c r="AM6" s="21">
        <v>6</v>
      </c>
      <c r="AN6" s="21">
        <v>3</v>
      </c>
      <c r="AO6" s="21">
        <v>4.05</v>
      </c>
      <c r="AP6" s="21"/>
      <c r="AQ6" s="21"/>
      <c r="AR6" s="8" t="s">
        <v>1971</v>
      </c>
      <c r="AS6" s="21" t="s">
        <v>1989</v>
      </c>
      <c r="AT6" s="21" t="str">
        <f>IFERROR(IF(FIND("?",ckAwdTable[abst_narr_txt]),SummarizeQuestMarks(ckAwdTable[abst_narr_txt]),""),"")</f>
        <v/>
      </c>
      <c r="AU6" s="21"/>
      <c r="AV6" t="s">
        <v>1985</v>
      </c>
      <c r="AW6" t="b">
        <f>AND(ckAwdTable[[#This Row],[ILN]]&gt;"M", SUBSTITUTE(ckAwdTable[[#This Row],[prop_titl_txt]]," ","")&lt;&gt;SUBSTITUTE(AV5," ",""))</f>
        <v>0</v>
      </c>
      <c r="AX6" s="8" t="s">
        <v>2000</v>
      </c>
      <c r="AY6"/>
      <c r="AZ6"/>
      <c r="BA6"/>
      <c r="BB6"/>
      <c r="BC6"/>
      <c r="BD6"/>
      <c r="BL6"/>
      <c r="BP6"/>
    </row>
    <row r="7" spans="1:68">
      <c r="A7" s="30">
        <v>42955.353391203702</v>
      </c>
      <c r="B7" s="30">
        <v>42807.602777777778</v>
      </c>
      <c r="C7" t="s">
        <v>1965</v>
      </c>
      <c r="D7" t="s">
        <v>741</v>
      </c>
      <c r="E7" t="s">
        <v>901</v>
      </c>
      <c r="F7" t="s">
        <v>543</v>
      </c>
      <c r="G7" s="8" t="s">
        <v>1966</v>
      </c>
      <c r="H7" s="8" t="s">
        <v>170</v>
      </c>
      <c r="I7" s="8" t="s">
        <v>2709</v>
      </c>
      <c r="J7" t="s">
        <v>94</v>
      </c>
      <c r="K7" t="s">
        <v>1967</v>
      </c>
      <c r="L7" s="22">
        <v>42951.514120370368</v>
      </c>
      <c r="M7" s="109">
        <f xml:space="preserve"> M6+(ckAwdTable[ILN]&lt;"M")</f>
        <v>4</v>
      </c>
      <c r="N7" t="s">
        <v>1981</v>
      </c>
      <c r="O7" t="s">
        <v>985</v>
      </c>
      <c r="P7" s="15" t="str">
        <f>HYPERLINK("https://www.ejacket.nsf.gov/ej/showProposal.do?ID="&amp;ckAwdTable[[#This Row],[prop_id]],"eJ")</f>
        <v>eJ</v>
      </c>
      <c r="Q7" s="8" t="s">
        <v>742</v>
      </c>
      <c r="R7" t="s">
        <v>985</v>
      </c>
      <c r="S7" t="s">
        <v>986</v>
      </c>
      <c r="T7" t="s">
        <v>2002</v>
      </c>
      <c r="U7" s="8" t="s">
        <v>2003</v>
      </c>
      <c r="V7" t="s">
        <v>2001</v>
      </c>
      <c r="W7" s="113" t="str">
        <f>HYPERLINK("mailto:"&amp; ckAwdTable[[#This Row],[email]]&amp;"&amp;subject=Your NSF Proposal:  "&amp;ckAwdTable[[#This Row],[prop_id]], ckAwdTable[[#This Row],[email]])</f>
        <v>kfs7@georgetown.edu</v>
      </c>
      <c r="X7" s="30">
        <v>42979</v>
      </c>
      <c r="Y7">
        <v>36</v>
      </c>
      <c r="AA7" s="21" t="s">
        <v>13</v>
      </c>
      <c r="AB7" s="21" t="s">
        <v>424</v>
      </c>
      <c r="AC7"/>
      <c r="AD7" s="21" t="s">
        <v>13</v>
      </c>
      <c r="AF7" s="124">
        <v>1221000</v>
      </c>
      <c r="AG7" s="21">
        <v>0</v>
      </c>
      <c r="AH7" s="1">
        <v>1221000</v>
      </c>
      <c r="AI7" s="1"/>
      <c r="AJ7" s="1"/>
      <c r="AK7" s="1">
        <v>106100</v>
      </c>
      <c r="AL7" s="1">
        <v>70000</v>
      </c>
      <c r="AM7" s="21">
        <v>6</v>
      </c>
      <c r="AN7" s="21">
        <v>15</v>
      </c>
      <c r="AO7" s="21">
        <v>15</v>
      </c>
      <c r="AP7" s="21"/>
      <c r="AQ7" s="21"/>
      <c r="AR7" s="8" t="s">
        <v>1971</v>
      </c>
      <c r="AS7" s="21" t="s">
        <v>1989</v>
      </c>
      <c r="AT7" s="21" t="str">
        <f>IFERROR(IF(FIND("?",ckAwdTable[abst_narr_txt]),SummarizeQuestMarks(ckAwdTable[abst_narr_txt]),""),"")</f>
        <v/>
      </c>
      <c r="AU7" s="21"/>
      <c r="AV7" t="s">
        <v>2005</v>
      </c>
      <c r="AW7" t="b">
        <f>AND(ckAwdTable[[#This Row],[ILN]]&gt;"M", SUBSTITUTE(ckAwdTable[[#This Row],[prop_titl_txt]]," ","")&lt;&gt;SUBSTITUTE(AV6," ",""))</f>
        <v>0</v>
      </c>
      <c r="AX7" s="8" t="s">
        <v>2006</v>
      </c>
    </row>
    <row r="8" spans="1:68">
      <c r="A8" s="30">
        <v>42955.353391203702</v>
      </c>
      <c r="B8" s="30">
        <v>42804.649305555555</v>
      </c>
      <c r="C8" t="s">
        <v>1965</v>
      </c>
      <c r="D8" t="s">
        <v>741</v>
      </c>
      <c r="E8" t="s">
        <v>901</v>
      </c>
      <c r="F8" t="s">
        <v>543</v>
      </c>
      <c r="G8" s="8" t="s">
        <v>1966</v>
      </c>
      <c r="H8" s="8" t="s">
        <v>170</v>
      </c>
      <c r="I8" s="8" t="s">
        <v>2709</v>
      </c>
      <c r="J8" t="s">
        <v>94</v>
      </c>
      <c r="K8" t="s">
        <v>1967</v>
      </c>
      <c r="L8" s="22">
        <v>42951.514120370368</v>
      </c>
      <c r="M8" s="109">
        <f xml:space="preserve"> M7+(ckAwdTable[ILN]&lt;"M")</f>
        <v>4</v>
      </c>
      <c r="N8" t="s">
        <v>1989</v>
      </c>
      <c r="O8" t="s">
        <v>985</v>
      </c>
      <c r="P8" s="15" t="str">
        <f>HYPERLINK("https://www.ejacket.nsf.gov/ej/showProposal.do?ID="&amp;ckAwdTable[[#This Row],[prop_id]],"eJ")</f>
        <v>eJ</v>
      </c>
      <c r="Q8" s="8" t="s">
        <v>742</v>
      </c>
      <c r="R8" t="s">
        <v>2008</v>
      </c>
      <c r="S8" t="s">
        <v>2009</v>
      </c>
      <c r="T8" t="s">
        <v>2010</v>
      </c>
      <c r="U8" s="8" t="s">
        <v>2011</v>
      </c>
      <c r="V8" t="s">
        <v>2001</v>
      </c>
      <c r="W8" s="113" t="str">
        <f>HYPERLINK("mailto:"&amp; ckAwdTable[[#This Row],[email]]&amp;"&amp;subject=Your NSF Proposal:  "&amp;ckAwdTable[[#This Row],[prop_id]], ckAwdTable[[#This Row],[email]])</f>
        <v>cmontel@gwu.edu</v>
      </c>
      <c r="X8" s="30">
        <v>42979</v>
      </c>
      <c r="Y8">
        <v>36</v>
      </c>
      <c r="AA8" s="21" t="s">
        <v>13</v>
      </c>
      <c r="AB8" s="21" t="s">
        <v>424</v>
      </c>
      <c r="AC8"/>
      <c r="AD8" s="21" t="s">
        <v>13</v>
      </c>
      <c r="AE8" s="21" t="s">
        <v>2710</v>
      </c>
      <c r="AF8" s="124">
        <v>279000</v>
      </c>
      <c r="AG8" s="21">
        <v>0</v>
      </c>
      <c r="AH8" s="1">
        <v>279000</v>
      </c>
      <c r="AI8" s="1"/>
      <c r="AJ8" s="1">
        <v>9000</v>
      </c>
      <c r="AM8" s="21">
        <v>3</v>
      </c>
      <c r="AN8" s="21">
        <v>3</v>
      </c>
      <c r="AO8" s="21">
        <v>1.44</v>
      </c>
      <c r="AP8" s="21"/>
      <c r="AQ8" s="21"/>
      <c r="AR8" s="8" t="s">
        <v>1971</v>
      </c>
      <c r="AS8" s="21" t="s">
        <v>1989</v>
      </c>
      <c r="AT8" s="21" t="str">
        <f>IFERROR(IF(FIND("?",ckAwdTable[abst_narr_txt]),SummarizeQuestMarks(ckAwdTable[abst_narr_txt]),""),"")</f>
        <v/>
      </c>
      <c r="AU8" s="21"/>
      <c r="AV8" t="s">
        <v>2005</v>
      </c>
      <c r="AW8" t="b">
        <f>AND(ckAwdTable[[#This Row],[ILN]]&gt;"M", SUBSTITUTE(ckAwdTable[[#This Row],[prop_titl_txt]]," ","")&lt;&gt;SUBSTITUTE(AV7," ",""))</f>
        <v>0</v>
      </c>
      <c r="AX8" s="8" t="s">
        <v>2012</v>
      </c>
    </row>
    <row r="9" spans="1:68">
      <c r="A9" s="30">
        <v>42957.713506944441</v>
      </c>
      <c r="B9" s="30">
        <v>42807.631944444445</v>
      </c>
      <c r="C9" t="s">
        <v>1965</v>
      </c>
      <c r="D9" t="s">
        <v>741</v>
      </c>
      <c r="E9" t="s">
        <v>901</v>
      </c>
      <c r="F9" t="s">
        <v>942</v>
      </c>
      <c r="G9" s="8" t="s">
        <v>1966</v>
      </c>
      <c r="H9" s="8" t="s">
        <v>170</v>
      </c>
      <c r="I9" s="8" t="s">
        <v>2709</v>
      </c>
      <c r="J9" t="s">
        <v>94</v>
      </c>
      <c r="K9" t="s">
        <v>1967</v>
      </c>
      <c r="L9" s="22">
        <v>42956.50476851852</v>
      </c>
      <c r="M9" s="109">
        <f xml:space="preserve"> M8+(ckAwdTable[ILN]&lt;"M")</f>
        <v>5</v>
      </c>
      <c r="N9" t="s">
        <v>1981</v>
      </c>
      <c r="O9" t="s">
        <v>1002</v>
      </c>
      <c r="P9" s="15" t="str">
        <f>HYPERLINK("https://www.ejacket.nsf.gov/ej/showProposal.do?ID="&amp;ckAwdTable[[#This Row],[prop_id]],"eJ")</f>
        <v>eJ</v>
      </c>
      <c r="Q9" s="8" t="s">
        <v>742</v>
      </c>
      <c r="R9" t="s">
        <v>1002</v>
      </c>
      <c r="S9" t="s">
        <v>1003</v>
      </c>
      <c r="T9" t="s">
        <v>2013</v>
      </c>
      <c r="U9" s="8" t="s">
        <v>2014</v>
      </c>
      <c r="V9" t="s">
        <v>893</v>
      </c>
      <c r="W9" s="113" t="str">
        <f>HYPERLINK("mailto:"&amp; ckAwdTable[[#This Row],[email]]&amp;"&amp;subject=Your NSF Proposal:  "&amp;ckAwdTable[[#This Row],[prop_id]], ckAwdTable[[#This Row],[email]])</f>
        <v>jgill@american.edu</v>
      </c>
      <c r="X9" s="30">
        <v>43009</v>
      </c>
      <c r="Y9">
        <v>36</v>
      </c>
      <c r="AA9" s="21" t="s">
        <v>13</v>
      </c>
      <c r="AB9" s="21" t="s">
        <v>424</v>
      </c>
      <c r="AC9"/>
      <c r="AD9" s="21" t="s">
        <v>13</v>
      </c>
      <c r="AE9" s="21" t="s">
        <v>2711</v>
      </c>
      <c r="AF9" s="124">
        <v>792573</v>
      </c>
      <c r="AG9" s="21">
        <v>0</v>
      </c>
      <c r="AH9" s="1">
        <v>792573</v>
      </c>
      <c r="AI9" s="1"/>
      <c r="AJ9" s="1">
        <v>12000</v>
      </c>
      <c r="AK9" s="1">
        <v>121650</v>
      </c>
      <c r="AM9" s="21">
        <v>4</v>
      </c>
      <c r="AN9" s="21">
        <v>15</v>
      </c>
      <c r="AO9" s="21">
        <v>8</v>
      </c>
      <c r="AP9" s="21"/>
      <c r="AQ9" s="21"/>
      <c r="AR9" s="8" t="s">
        <v>1971</v>
      </c>
      <c r="AS9" s="21" t="s">
        <v>1989</v>
      </c>
      <c r="AT9" s="21" t="str">
        <f>IFERROR(IF(FIND("?",ckAwdTable[abst_narr_txt]),SummarizeQuestMarks(ckAwdTable[abst_narr_txt]),""),"")</f>
        <v/>
      </c>
      <c r="AU9" s="21"/>
      <c r="AV9" t="s">
        <v>2016</v>
      </c>
      <c r="AW9" t="b">
        <f>AND(ckAwdTable[[#This Row],[ILN]]&gt;"M", SUBSTITUTE(ckAwdTable[[#This Row],[prop_titl_txt]]," ","")&lt;&gt;SUBSTITUTE(AV8," ",""))</f>
        <v>0</v>
      </c>
      <c r="AX9" s="8" t="s">
        <v>2017</v>
      </c>
    </row>
    <row r="10" spans="1:68">
      <c r="A10" s="30">
        <v>42957.713506944441</v>
      </c>
      <c r="B10" s="30">
        <v>42807.65</v>
      </c>
      <c r="C10" t="s">
        <v>1965</v>
      </c>
      <c r="D10" t="s">
        <v>741</v>
      </c>
      <c r="E10" t="s">
        <v>901</v>
      </c>
      <c r="F10" t="s">
        <v>942</v>
      </c>
      <c r="G10" s="8" t="s">
        <v>1966</v>
      </c>
      <c r="H10" s="8" t="s">
        <v>170</v>
      </c>
      <c r="I10" s="8" t="s">
        <v>2709</v>
      </c>
      <c r="J10" t="s">
        <v>94</v>
      </c>
      <c r="K10" t="s">
        <v>1967</v>
      </c>
      <c r="L10" s="22">
        <v>42956.50476851852</v>
      </c>
      <c r="M10" s="109">
        <f xml:space="preserve"> M9+(ckAwdTable[ILN]&lt;"M")</f>
        <v>5</v>
      </c>
      <c r="N10" t="s">
        <v>1989</v>
      </c>
      <c r="O10" t="s">
        <v>1002</v>
      </c>
      <c r="P10" s="15" t="str">
        <f>HYPERLINK("https://www.ejacket.nsf.gov/ej/showProposal.do?ID="&amp;ckAwdTable[[#This Row],[prop_id]],"eJ")</f>
        <v>eJ</v>
      </c>
      <c r="Q10" s="8" t="s">
        <v>742</v>
      </c>
      <c r="R10" t="s">
        <v>1007</v>
      </c>
      <c r="S10" t="s">
        <v>892</v>
      </c>
      <c r="T10" t="s">
        <v>894</v>
      </c>
      <c r="U10" s="8" t="s">
        <v>895</v>
      </c>
      <c r="V10" t="s">
        <v>893</v>
      </c>
      <c r="W10" s="113" t="str">
        <f>HYPERLINK("mailto:"&amp; ckAwdTable[[#This Row],[email]]&amp;"&amp;subject=Your NSF Proposal:  "&amp;ckAwdTable[[#This Row],[prop_id]], ckAwdTable[[#This Row],[email]])</f>
        <v>erin.chambers@slu.edu</v>
      </c>
      <c r="X10" s="30">
        <v>43009</v>
      </c>
      <c r="Y10">
        <v>36</v>
      </c>
      <c r="AA10" s="21" t="s">
        <v>13</v>
      </c>
      <c r="AB10" s="21" t="s">
        <v>424</v>
      </c>
      <c r="AC10"/>
      <c r="AD10" s="21" t="s">
        <v>13</v>
      </c>
      <c r="AE10" s="21" t="s">
        <v>2710</v>
      </c>
      <c r="AF10" s="124">
        <v>707058</v>
      </c>
      <c r="AG10" s="21">
        <v>0</v>
      </c>
      <c r="AH10" s="1">
        <v>707058</v>
      </c>
      <c r="AI10" s="1"/>
      <c r="AJ10" s="1">
        <v>22500</v>
      </c>
      <c r="AK10" s="1">
        <v>120000</v>
      </c>
      <c r="AL10" s="1">
        <v>35000</v>
      </c>
      <c r="AM10" s="21">
        <v>4</v>
      </c>
      <c r="AN10" s="21">
        <v>7</v>
      </c>
      <c r="AO10" s="21">
        <v>8</v>
      </c>
      <c r="AP10" s="21"/>
      <c r="AQ10" s="21"/>
      <c r="AR10" s="8" t="s">
        <v>1971</v>
      </c>
      <c r="AS10" s="21" t="s">
        <v>1989</v>
      </c>
      <c r="AT10" s="21" t="str">
        <f>IFERROR(IF(FIND("?",ckAwdTable[abst_narr_txt]),SummarizeQuestMarks(ckAwdTable[abst_narr_txt]),""),"")</f>
        <v/>
      </c>
      <c r="AU10" s="21"/>
      <c r="AV10" t="s">
        <v>2016</v>
      </c>
      <c r="AW10" t="b">
        <f>AND(ckAwdTable[[#This Row],[ILN]]&gt;"M", SUBSTITUTE(ckAwdTable[[#This Row],[prop_titl_txt]]," ","")&lt;&gt;SUBSTITUTE(AV9," ",""))</f>
        <v>0</v>
      </c>
      <c r="AX10" s="8" t="s">
        <v>896</v>
      </c>
    </row>
    <row r="11" spans="1:68">
      <c r="A11" s="30">
        <v>42955.353842592594</v>
      </c>
      <c r="B11" s="30">
        <v>42807.683333333334</v>
      </c>
      <c r="C11" t="s">
        <v>1965</v>
      </c>
      <c r="D11" t="s">
        <v>741</v>
      </c>
      <c r="E11" t="s">
        <v>901</v>
      </c>
      <c r="F11" t="s">
        <v>543</v>
      </c>
      <c r="G11" s="8" t="s">
        <v>1966</v>
      </c>
      <c r="H11" s="8" t="s">
        <v>170</v>
      </c>
      <c r="I11" s="8" t="s">
        <v>2709</v>
      </c>
      <c r="J11" t="s">
        <v>94</v>
      </c>
      <c r="K11" t="s">
        <v>1967</v>
      </c>
      <c r="L11" s="22">
        <v>42951.518680555557</v>
      </c>
      <c r="M11" s="109">
        <f xml:space="preserve"> M10+(ckAwdTable[ILN]&lt;"M")</f>
        <v>6</v>
      </c>
      <c r="N11" t="s">
        <v>1981</v>
      </c>
      <c r="O11" t="s">
        <v>1023</v>
      </c>
      <c r="P11" s="15" t="str">
        <f>HYPERLINK("https://www.ejacket.nsf.gov/ej/showProposal.do?ID="&amp;ckAwdTable[[#This Row],[prop_id]],"eJ")</f>
        <v>eJ</v>
      </c>
      <c r="Q11" s="8" t="s">
        <v>742</v>
      </c>
      <c r="R11" t="s">
        <v>1023</v>
      </c>
      <c r="S11" t="s">
        <v>1024</v>
      </c>
      <c r="T11" t="s">
        <v>2019</v>
      </c>
      <c r="U11" s="8" t="s">
        <v>2020</v>
      </c>
      <c r="V11" t="s">
        <v>2018</v>
      </c>
      <c r="W11" s="113" t="str">
        <f>HYPERLINK("mailto:"&amp; ckAwdTable[[#This Row],[email]]&amp;"&amp;subject=Your NSF Proposal:  "&amp;ckAwdTable[[#This Row],[prop_id]], ckAwdTable[[#This Row],[email]])</f>
        <v>nalini.ravishanker@uconn.edu</v>
      </c>
      <c r="X11" s="30">
        <v>42979</v>
      </c>
      <c r="Y11">
        <v>36</v>
      </c>
      <c r="AA11" s="21" t="s">
        <v>13</v>
      </c>
      <c r="AB11" s="21" t="s">
        <v>424</v>
      </c>
      <c r="AC11"/>
      <c r="AD11" s="21" t="s">
        <v>13</v>
      </c>
      <c r="AF11" s="124">
        <v>825000</v>
      </c>
      <c r="AG11" s="21">
        <v>0</v>
      </c>
      <c r="AH11" s="1">
        <v>825000</v>
      </c>
      <c r="AI11" s="1"/>
      <c r="AJ11" s="1"/>
      <c r="AK11" s="1">
        <v>173388</v>
      </c>
      <c r="AL11" s="1">
        <v>45000</v>
      </c>
      <c r="AM11" s="21">
        <v>9</v>
      </c>
      <c r="AN11" s="21">
        <v>9</v>
      </c>
      <c r="AO11" s="21">
        <v>2.1</v>
      </c>
      <c r="AP11" s="21"/>
      <c r="AQ11" s="21"/>
      <c r="AR11" s="8" t="s">
        <v>1971</v>
      </c>
      <c r="AS11" s="21" t="s">
        <v>1989</v>
      </c>
      <c r="AT11" s="21" t="str">
        <f>IFERROR(IF(FIND("?",ckAwdTable[abst_narr_txt]),SummarizeQuestMarks(ckAwdTable[abst_narr_txt]),""),"")</f>
        <v/>
      </c>
      <c r="AU11" s="21"/>
      <c r="AV11" t="s">
        <v>2022</v>
      </c>
      <c r="AW11" t="b">
        <f>AND(ckAwdTable[[#This Row],[ILN]]&gt;"M", SUBSTITUTE(ckAwdTable[[#This Row],[prop_titl_txt]]," ","")&lt;&gt;SUBSTITUTE(AV10," ",""))</f>
        <v>0</v>
      </c>
      <c r="AX11" s="8" t="s">
        <v>2023</v>
      </c>
    </row>
    <row r="12" spans="1:68">
      <c r="A12" s="30">
        <v>42955.353842592594</v>
      </c>
      <c r="B12" s="30">
        <v>42807.572222222225</v>
      </c>
      <c r="C12" t="s">
        <v>1965</v>
      </c>
      <c r="D12" t="s">
        <v>741</v>
      </c>
      <c r="E12" t="s">
        <v>901</v>
      </c>
      <c r="F12" t="s">
        <v>543</v>
      </c>
      <c r="G12" s="8" t="s">
        <v>1966</v>
      </c>
      <c r="H12" s="8" t="s">
        <v>170</v>
      </c>
      <c r="I12" s="8" t="s">
        <v>2709</v>
      </c>
      <c r="J12" t="s">
        <v>94</v>
      </c>
      <c r="K12" t="s">
        <v>1967</v>
      </c>
      <c r="L12" s="22">
        <v>42951.518680555557</v>
      </c>
      <c r="M12" s="109">
        <f xml:space="preserve"> M11+(ckAwdTable[ILN]&lt;"M")</f>
        <v>6</v>
      </c>
      <c r="N12" t="s">
        <v>1989</v>
      </c>
      <c r="O12" t="s">
        <v>1023</v>
      </c>
      <c r="P12" s="15" t="str">
        <f>HYPERLINK("https://www.ejacket.nsf.gov/ej/showProposal.do?ID="&amp;ckAwdTable[[#This Row],[prop_id]],"eJ")</f>
        <v>eJ</v>
      </c>
      <c r="Q12" s="8" t="s">
        <v>742</v>
      </c>
      <c r="R12" t="s">
        <v>2024</v>
      </c>
      <c r="S12" t="s">
        <v>2025</v>
      </c>
      <c r="T12" t="s">
        <v>2026</v>
      </c>
      <c r="U12" s="8" t="s">
        <v>2027</v>
      </c>
      <c r="V12" t="s">
        <v>2018</v>
      </c>
      <c r="W12" s="113" t="str">
        <f>HYPERLINK("mailto:"&amp; ckAwdTable[[#This Row],[email]]&amp;"&amp;subject=Your NSF Proposal:  "&amp;ckAwdTable[[#This Row],[prop_id]], ckAwdTable[[#This Row],[email]])</f>
        <v>laubenbacher@uchc.edu</v>
      </c>
      <c r="X12" s="30">
        <v>42979</v>
      </c>
      <c r="Y12">
        <v>36</v>
      </c>
      <c r="AA12" s="21" t="s">
        <v>13</v>
      </c>
      <c r="AB12" s="21" t="s">
        <v>424</v>
      </c>
      <c r="AC12"/>
      <c r="AD12" s="21" t="s">
        <v>13</v>
      </c>
      <c r="AF12" s="124">
        <v>224999</v>
      </c>
      <c r="AG12" s="21">
        <v>0</v>
      </c>
      <c r="AH12" s="1">
        <v>224999</v>
      </c>
      <c r="AI12" s="1"/>
      <c r="AJ12" s="1"/>
      <c r="AM12" s="21">
        <v>3</v>
      </c>
      <c r="AN12" s="21">
        <v>3</v>
      </c>
      <c r="AO12" s="21"/>
      <c r="AP12" s="21"/>
      <c r="AQ12" s="21">
        <v>0.36</v>
      </c>
      <c r="AR12" s="8" t="s">
        <v>1971</v>
      </c>
      <c r="AS12" s="21" t="s">
        <v>1989</v>
      </c>
      <c r="AT12" s="21" t="str">
        <f>IFERROR(IF(FIND("?",ckAwdTable[abst_narr_txt]),SummarizeQuestMarks(ckAwdTable[abst_narr_txt]),""),"")</f>
        <v/>
      </c>
      <c r="AU12" s="21"/>
      <c r="AV12" t="s">
        <v>2028</v>
      </c>
      <c r="AW12" t="b">
        <f>AND(ckAwdTable[[#This Row],[ILN]]&gt;"M", SUBSTITUTE(ckAwdTable[[#This Row],[prop_titl_txt]]," ","")&lt;&gt;SUBSTITUTE(AV11," ",""))</f>
        <v>1</v>
      </c>
      <c r="AX12" s="8" t="s">
        <v>2029</v>
      </c>
    </row>
    <row r="13" spans="1:68">
      <c r="A13" s="30">
        <v>42955.353842592594</v>
      </c>
      <c r="B13" s="30">
        <v>42809.648611111108</v>
      </c>
      <c r="C13" t="s">
        <v>1965</v>
      </c>
      <c r="D13" t="s">
        <v>741</v>
      </c>
      <c r="E13" t="s">
        <v>901</v>
      </c>
      <c r="F13" t="s">
        <v>543</v>
      </c>
      <c r="G13" s="8" t="s">
        <v>1966</v>
      </c>
      <c r="H13" s="8" t="s">
        <v>170</v>
      </c>
      <c r="I13" s="8" t="s">
        <v>2709</v>
      </c>
      <c r="J13" t="s">
        <v>94</v>
      </c>
      <c r="K13" t="s">
        <v>1967</v>
      </c>
      <c r="L13" s="22">
        <v>42951.518680555557</v>
      </c>
      <c r="M13" s="109">
        <f xml:space="preserve"> M12+(ckAwdTable[ILN]&lt;"M")</f>
        <v>6</v>
      </c>
      <c r="N13" t="s">
        <v>1989</v>
      </c>
      <c r="O13" t="s">
        <v>1023</v>
      </c>
      <c r="P13" s="15" t="str">
        <f>HYPERLINK("https://www.ejacket.nsf.gov/ej/showProposal.do?ID="&amp;ckAwdTable[[#This Row],[prop_id]],"eJ")</f>
        <v>eJ</v>
      </c>
      <c r="Q13" s="8" t="s">
        <v>742</v>
      </c>
      <c r="R13" t="s">
        <v>2030</v>
      </c>
      <c r="S13" t="s">
        <v>2031</v>
      </c>
      <c r="T13" t="s">
        <v>1969</v>
      </c>
      <c r="U13" s="8" t="s">
        <v>2032</v>
      </c>
      <c r="V13" t="s">
        <v>257</v>
      </c>
      <c r="W13" s="113" t="str">
        <f>HYPERLINK("mailto:"&amp; ckAwdTable[[#This Row],[email]]&amp;"&amp;subject=Your NSF Proposal:  "&amp;ckAwdTable[[#This Row],[prop_id]], ckAwdTable[[#This Row],[email]])</f>
        <v>lavine@math.umass.edu</v>
      </c>
      <c r="X13" s="30">
        <v>42979</v>
      </c>
      <c r="Y13">
        <v>36</v>
      </c>
      <c r="AA13" s="21" t="s">
        <v>13</v>
      </c>
      <c r="AB13" s="21" t="s">
        <v>424</v>
      </c>
      <c r="AC13"/>
      <c r="AD13" s="21" t="s">
        <v>13</v>
      </c>
      <c r="AF13" s="124">
        <v>374046</v>
      </c>
      <c r="AG13" s="21">
        <v>0</v>
      </c>
      <c r="AH13" s="1">
        <v>374046</v>
      </c>
      <c r="AI13" s="1"/>
      <c r="AJ13" s="1"/>
      <c r="AK13" s="1">
        <v>149744</v>
      </c>
      <c r="AM13" s="21">
        <v>4</v>
      </c>
      <c r="AN13" s="21">
        <v>12</v>
      </c>
      <c r="AO13" s="21">
        <v>1.08</v>
      </c>
      <c r="AP13" s="21"/>
      <c r="AQ13" s="21"/>
      <c r="AR13" s="8" t="s">
        <v>1971</v>
      </c>
      <c r="AS13" s="21" t="s">
        <v>1989</v>
      </c>
      <c r="AT13" s="21" t="str">
        <f>IFERROR(IF(FIND("?",ckAwdTable[abst_narr_txt]),SummarizeQuestMarks(ckAwdTable[abst_narr_txt]),""),"")</f>
        <v/>
      </c>
      <c r="AU13" s="21"/>
      <c r="AV13" t="s">
        <v>2022</v>
      </c>
      <c r="AW13" t="b">
        <f>AND(ckAwdTable[[#This Row],[ILN]]&gt;"M", SUBSTITUTE(ckAwdTable[[#This Row],[prop_titl_txt]]," ","")&lt;&gt;SUBSTITUTE(AV12," ",""))</f>
        <v>1</v>
      </c>
      <c r="AX13" s="8" t="s">
        <v>2033</v>
      </c>
    </row>
    <row r="14" spans="1:68">
      <c r="A14" s="30">
        <v>42955.682905092595</v>
      </c>
      <c r="B14" s="30">
        <v>42808.504861111112</v>
      </c>
      <c r="C14" t="s">
        <v>1965</v>
      </c>
      <c r="D14" t="s">
        <v>741</v>
      </c>
      <c r="E14" t="s">
        <v>901</v>
      </c>
      <c r="F14" t="s">
        <v>948</v>
      </c>
      <c r="G14" s="8" t="s">
        <v>1966</v>
      </c>
      <c r="H14" s="8" t="s">
        <v>170</v>
      </c>
      <c r="I14" s="8" t="s">
        <v>2709</v>
      </c>
      <c r="J14" t="s">
        <v>94</v>
      </c>
      <c r="K14" t="s">
        <v>1967</v>
      </c>
      <c r="L14" s="22">
        <v>42955.345277777778</v>
      </c>
      <c r="M14" s="109">
        <f xml:space="preserve"> M13+(ckAwdTable[ILN]&lt;"M")</f>
        <v>7</v>
      </c>
      <c r="N14" t="s">
        <v>96</v>
      </c>
      <c r="O14" t="s">
        <v>1030</v>
      </c>
      <c r="P14" s="15" t="str">
        <f>HYPERLINK("https://www.ejacket.nsf.gov/ej/showProposal.do?ID="&amp;ckAwdTable[[#This Row],[prop_id]],"eJ")</f>
        <v>eJ</v>
      </c>
      <c r="Q14" s="8" t="s">
        <v>742</v>
      </c>
      <c r="R14" t="s">
        <v>1030</v>
      </c>
      <c r="S14" t="s">
        <v>1031</v>
      </c>
      <c r="T14" t="s">
        <v>2034</v>
      </c>
      <c r="U14" s="8" t="s">
        <v>2035</v>
      </c>
      <c r="V14" t="s">
        <v>256</v>
      </c>
      <c r="W14" s="113" t="str">
        <f>HYPERLINK("mailto:"&amp; ckAwdTable[[#This Row],[email]]&amp;"&amp;subject=Your NSF Proposal:  "&amp;ckAwdTable[[#This Row],[prop_id]], ckAwdTable[[#This Row],[email]])</f>
        <v>gvaliant@cs.stanford.edu</v>
      </c>
      <c r="X14" s="30">
        <v>43009</v>
      </c>
      <c r="Y14">
        <v>36</v>
      </c>
      <c r="AA14" s="21" t="s">
        <v>13</v>
      </c>
      <c r="AB14" s="21" t="s">
        <v>424</v>
      </c>
      <c r="AC14"/>
      <c r="AD14" s="21" t="s">
        <v>13</v>
      </c>
      <c r="AE14" s="21" t="s">
        <v>2710</v>
      </c>
      <c r="AF14" s="124">
        <v>1498915</v>
      </c>
      <c r="AG14" s="21">
        <v>0</v>
      </c>
      <c r="AH14" s="1">
        <v>1498915</v>
      </c>
      <c r="AI14" s="1"/>
      <c r="AJ14" s="1">
        <v>18000</v>
      </c>
      <c r="AK14" s="1">
        <v>511926</v>
      </c>
      <c r="AL14" s="1">
        <v>169992</v>
      </c>
      <c r="AM14" s="21"/>
      <c r="AN14" s="21">
        <v>21</v>
      </c>
      <c r="AO14" s="21">
        <v>5.25</v>
      </c>
      <c r="AP14" s="21"/>
      <c r="AQ14" s="21"/>
      <c r="AR14" s="8" t="s">
        <v>1971</v>
      </c>
      <c r="AS14" s="21" t="s">
        <v>1989</v>
      </c>
      <c r="AT14" s="21" t="str">
        <f>IFERROR(IF(FIND("?",ckAwdTable[abst_narr_txt]),SummarizeQuestMarks(ckAwdTable[abst_narr_txt]),""),"")</f>
        <v/>
      </c>
      <c r="AU14" s="21"/>
      <c r="AV14" t="s">
        <v>2037</v>
      </c>
      <c r="AW14" t="b">
        <f>AND(ckAwdTable[[#This Row],[ILN]]&gt;"M", SUBSTITUTE(ckAwdTable[[#This Row],[prop_titl_txt]]," ","")&lt;&gt;SUBSTITUTE(AV13," ",""))</f>
        <v>0</v>
      </c>
      <c r="AX14" s="8" t="s">
        <v>2038</v>
      </c>
    </row>
    <row r="15" spans="1:68">
      <c r="A15" s="30">
        <v>42957.711018518516</v>
      </c>
      <c r="B15" s="30">
        <v>42808.611805555556</v>
      </c>
      <c r="C15" t="s">
        <v>1965</v>
      </c>
      <c r="D15" t="s">
        <v>741</v>
      </c>
      <c r="E15" t="s">
        <v>901</v>
      </c>
      <c r="F15" t="s">
        <v>948</v>
      </c>
      <c r="G15" s="8" t="s">
        <v>1966</v>
      </c>
      <c r="H15" s="8" t="s">
        <v>170</v>
      </c>
      <c r="I15" s="8" t="s">
        <v>2709</v>
      </c>
      <c r="J15" t="s">
        <v>94</v>
      </c>
      <c r="K15" t="s">
        <v>1967</v>
      </c>
      <c r="L15" s="22">
        <v>42957.361666666664</v>
      </c>
      <c r="M15" s="109">
        <f xml:space="preserve"> M14+(ckAwdTable[ILN]&lt;"M")</f>
        <v>8</v>
      </c>
      <c r="N15" t="s">
        <v>1981</v>
      </c>
      <c r="O15" t="s">
        <v>1041</v>
      </c>
      <c r="P15" s="15" t="str">
        <f>HYPERLINK("https://www.ejacket.nsf.gov/ej/showProposal.do?ID="&amp;ckAwdTable[[#This Row],[prop_id]],"eJ")</f>
        <v>eJ</v>
      </c>
      <c r="Q15" s="8" t="s">
        <v>742</v>
      </c>
      <c r="R15" t="s">
        <v>1041</v>
      </c>
      <c r="S15" t="s">
        <v>1042</v>
      </c>
      <c r="T15" t="s">
        <v>2040</v>
      </c>
      <c r="U15" s="8" t="s">
        <v>2041</v>
      </c>
      <c r="V15" t="s">
        <v>2039</v>
      </c>
      <c r="W15" s="113" t="str">
        <f>HYPERLINK("mailto:"&amp; ckAwdTable[[#This Row],[email]]&amp;"&amp;subject=Your NSF Proposal:  "&amp;ckAwdTable[[#This Row],[prop_id]], ckAwdTable[[#This Row],[email]])</f>
        <v>spa@cs.purdue.edu</v>
      </c>
      <c r="X15" s="30">
        <v>42979</v>
      </c>
      <c r="Y15">
        <v>36</v>
      </c>
      <c r="AA15" s="21" t="s">
        <v>13</v>
      </c>
      <c r="AB15" s="21" t="s">
        <v>424</v>
      </c>
      <c r="AC15"/>
      <c r="AD15" s="21" t="s">
        <v>13</v>
      </c>
      <c r="AE15" s="21" t="s">
        <v>2712</v>
      </c>
      <c r="AF15" s="124">
        <v>900000</v>
      </c>
      <c r="AG15" s="21">
        <v>0</v>
      </c>
      <c r="AH15" s="1">
        <v>900000</v>
      </c>
      <c r="AI15" s="1"/>
      <c r="AJ15" s="1">
        <v>45000</v>
      </c>
      <c r="AK15" s="1">
        <v>274281</v>
      </c>
      <c r="AM15" s="21"/>
      <c r="AN15" s="21">
        <v>6</v>
      </c>
      <c r="AO15" s="21">
        <v>2.76</v>
      </c>
      <c r="AP15" s="21"/>
      <c r="AQ15" s="21"/>
      <c r="AR15" s="8" t="s">
        <v>1971</v>
      </c>
      <c r="AS15" s="21" t="s">
        <v>1989</v>
      </c>
      <c r="AT15" s="21" t="str">
        <f>IFERROR(IF(FIND("?",ckAwdTable[abst_narr_txt]),SummarizeQuestMarks(ckAwdTable[abst_narr_txt]),""),"")</f>
        <v/>
      </c>
      <c r="AU15" s="21"/>
      <c r="AV15" t="s">
        <v>2043</v>
      </c>
      <c r="AW15" t="b">
        <f>AND(ckAwdTable[[#This Row],[ILN]]&gt;"M", SUBSTITUTE(ckAwdTable[[#This Row],[prop_titl_txt]]," ","")&lt;&gt;SUBSTITUTE(AV14," ",""))</f>
        <v>0</v>
      </c>
      <c r="AX15" s="8" t="s">
        <v>2044</v>
      </c>
    </row>
    <row r="16" spans="1:68">
      <c r="A16" s="30">
        <v>42957.711018518516</v>
      </c>
      <c r="B16" s="30">
        <v>42808.474999999999</v>
      </c>
      <c r="C16" t="s">
        <v>1965</v>
      </c>
      <c r="D16" t="s">
        <v>741</v>
      </c>
      <c r="E16" t="s">
        <v>901</v>
      </c>
      <c r="F16" t="s">
        <v>948</v>
      </c>
      <c r="G16" s="8" t="s">
        <v>1966</v>
      </c>
      <c r="H16" s="8" t="s">
        <v>170</v>
      </c>
      <c r="I16" s="8" t="s">
        <v>2709</v>
      </c>
      <c r="J16" t="s">
        <v>94</v>
      </c>
      <c r="K16" t="s">
        <v>1967</v>
      </c>
      <c r="L16" s="22">
        <v>42957.361666666664</v>
      </c>
      <c r="M16" s="109">
        <f xml:space="preserve"> M15+(ckAwdTable[ILN]&lt;"M")</f>
        <v>8</v>
      </c>
      <c r="N16" t="s">
        <v>1989</v>
      </c>
      <c r="O16" t="s">
        <v>1041</v>
      </c>
      <c r="P16" s="15" t="str">
        <f>HYPERLINK("https://www.ejacket.nsf.gov/ej/showProposal.do?ID="&amp;ckAwdTable[[#This Row],[prop_id]],"eJ")</f>
        <v>eJ</v>
      </c>
      <c r="Q16" s="8" t="s">
        <v>742</v>
      </c>
      <c r="R16" t="s">
        <v>2045</v>
      </c>
      <c r="S16" t="s">
        <v>2046</v>
      </c>
      <c r="T16" t="s">
        <v>2047</v>
      </c>
      <c r="U16" s="8" t="s">
        <v>2048</v>
      </c>
      <c r="V16" t="s">
        <v>344</v>
      </c>
      <c r="W16" s="113" t="str">
        <f>HYPERLINK("mailto:"&amp; ckAwdTable[[#This Row],[email]]&amp;"&amp;subject=Your NSF Proposal:  "&amp;ckAwdTable[[#This Row],[prop_id]], ckAwdTable[[#This Row],[email]])</f>
        <v>ipsen@ncsu.edu</v>
      </c>
      <c r="X16" s="30">
        <v>42979</v>
      </c>
      <c r="Y16">
        <v>36</v>
      </c>
      <c r="AA16" s="21" t="s">
        <v>13</v>
      </c>
      <c r="AB16" s="21" t="s">
        <v>424</v>
      </c>
      <c r="AC16"/>
      <c r="AD16" s="21" t="s">
        <v>13</v>
      </c>
      <c r="AE16" s="21" t="s">
        <v>2713</v>
      </c>
      <c r="AF16" s="124">
        <v>180000</v>
      </c>
      <c r="AG16" s="21">
        <v>0</v>
      </c>
      <c r="AH16" s="1">
        <v>180000</v>
      </c>
      <c r="AI16" s="1"/>
      <c r="AJ16" s="1">
        <v>21091</v>
      </c>
      <c r="AM16" s="21"/>
      <c r="AN16" s="21">
        <v>3</v>
      </c>
      <c r="AO16" s="21">
        <v>3.87</v>
      </c>
      <c r="AP16" s="21"/>
      <c r="AQ16" s="21"/>
      <c r="AR16" s="8" t="s">
        <v>1971</v>
      </c>
      <c r="AS16" s="21" t="s">
        <v>1989</v>
      </c>
      <c r="AT16" s="21" t="str">
        <f>IFERROR(IF(FIND("?",ckAwdTable[abst_narr_txt]),SummarizeQuestMarks(ckAwdTable[abst_narr_txt]),""),"")</f>
        <v/>
      </c>
      <c r="AU16" s="21"/>
      <c r="AV16" t="s">
        <v>2049</v>
      </c>
      <c r="AW16" t="b">
        <f>AND(ckAwdTable[[#This Row],[ILN]]&gt;"M", SUBSTITUTE(ckAwdTable[[#This Row],[prop_titl_txt]]," ","")&lt;&gt;SUBSTITUTE(AV15," ",""))</f>
        <v>0</v>
      </c>
      <c r="AX16" s="8" t="s">
        <v>2050</v>
      </c>
    </row>
    <row r="17" spans="1:50">
      <c r="A17" s="30">
        <v>42957.711018518516</v>
      </c>
      <c r="B17" s="30">
        <v>42808.71597222222</v>
      </c>
      <c r="C17" t="s">
        <v>1965</v>
      </c>
      <c r="D17" t="s">
        <v>741</v>
      </c>
      <c r="E17" t="s">
        <v>901</v>
      </c>
      <c r="F17" t="s">
        <v>948</v>
      </c>
      <c r="G17" s="8" t="s">
        <v>1966</v>
      </c>
      <c r="H17" s="8" t="s">
        <v>170</v>
      </c>
      <c r="I17" s="8" t="s">
        <v>2709</v>
      </c>
      <c r="J17" t="s">
        <v>94</v>
      </c>
      <c r="K17" t="s">
        <v>1967</v>
      </c>
      <c r="L17" s="22">
        <v>42957.361666666664</v>
      </c>
      <c r="M17" s="109">
        <f xml:space="preserve"> M16+(ckAwdTable[ILN]&lt;"M")</f>
        <v>8</v>
      </c>
      <c r="N17" t="s">
        <v>1989</v>
      </c>
      <c r="O17" t="s">
        <v>1041</v>
      </c>
      <c r="P17" s="15" t="str">
        <f>HYPERLINK("https://www.ejacket.nsf.gov/ej/showProposal.do?ID="&amp;ckAwdTable[[#This Row],[prop_id]],"eJ")</f>
        <v>eJ</v>
      </c>
      <c r="Q17" s="8" t="s">
        <v>742</v>
      </c>
      <c r="R17" t="s">
        <v>2051</v>
      </c>
      <c r="S17" t="s">
        <v>2052</v>
      </c>
      <c r="T17" t="s">
        <v>2053</v>
      </c>
      <c r="U17" s="8" t="s">
        <v>339</v>
      </c>
      <c r="V17" t="s">
        <v>340</v>
      </c>
      <c r="W17" s="113" t="str">
        <f>HYPERLINK("mailto:"&amp; ckAwdTable[[#This Row],[email]]&amp;"&amp;subject=Your NSF Proposal:  "&amp;ckAwdTable[[#This Row],[prop_id]], ckAwdTable[[#This Row],[email]])</f>
        <v>ymb@uiuc.edu</v>
      </c>
      <c r="X17" s="30">
        <v>42979</v>
      </c>
      <c r="Y17">
        <v>36</v>
      </c>
      <c r="AA17" s="21" t="s">
        <v>13</v>
      </c>
      <c r="AB17" s="21" t="s">
        <v>424</v>
      </c>
      <c r="AC17"/>
      <c r="AD17" s="21" t="s">
        <v>13</v>
      </c>
      <c r="AE17" s="21" t="s">
        <v>2710</v>
      </c>
      <c r="AF17" s="124">
        <v>270000</v>
      </c>
      <c r="AG17" s="21">
        <v>0</v>
      </c>
      <c r="AH17" s="1">
        <v>270000</v>
      </c>
      <c r="AI17" s="1"/>
      <c r="AJ17" s="1">
        <v>18000</v>
      </c>
      <c r="AM17" s="21">
        <v>3</v>
      </c>
      <c r="AN17" s="21">
        <v>3</v>
      </c>
      <c r="AO17" s="21">
        <v>0.89</v>
      </c>
      <c r="AP17" s="21"/>
      <c r="AQ17" s="21"/>
      <c r="AR17" s="8" t="s">
        <v>1971</v>
      </c>
      <c r="AS17" s="21" t="s">
        <v>1989</v>
      </c>
      <c r="AT17" s="21" t="str">
        <f>IFERROR(IF(FIND("?",ckAwdTable[abst_narr_txt]),SummarizeQuestMarks(ckAwdTable[abst_narr_txt]),""),"")</f>
        <v/>
      </c>
      <c r="AU17" s="21"/>
      <c r="AV17" t="s">
        <v>2049</v>
      </c>
      <c r="AW17" t="b">
        <f>AND(ckAwdTable[[#This Row],[ILN]]&gt;"M", SUBSTITUTE(ckAwdTable[[#This Row],[prop_titl_txt]]," ","")&lt;&gt;SUBSTITUTE(AV16," ",""))</f>
        <v>0</v>
      </c>
      <c r="AX17" s="8" t="s">
        <v>2054</v>
      </c>
    </row>
    <row r="18" spans="1:50">
      <c r="A18" s="30">
        <v>42957.711018518516</v>
      </c>
      <c r="B18" s="30">
        <v>42808.71875</v>
      </c>
      <c r="C18" t="s">
        <v>1965</v>
      </c>
      <c r="D18" t="s">
        <v>741</v>
      </c>
      <c r="E18" t="s">
        <v>901</v>
      </c>
      <c r="F18" t="s">
        <v>948</v>
      </c>
      <c r="G18" s="8" t="s">
        <v>1966</v>
      </c>
      <c r="H18" s="8" t="s">
        <v>170</v>
      </c>
      <c r="I18" s="8" t="s">
        <v>2709</v>
      </c>
      <c r="J18" t="s">
        <v>94</v>
      </c>
      <c r="K18" t="s">
        <v>1967</v>
      </c>
      <c r="L18" s="22">
        <v>42957.361666666664</v>
      </c>
      <c r="M18" s="109">
        <f xml:space="preserve"> M17+(ckAwdTable[ILN]&lt;"M")</f>
        <v>8</v>
      </c>
      <c r="N18" t="s">
        <v>1989</v>
      </c>
      <c r="O18" t="s">
        <v>1041</v>
      </c>
      <c r="P18" s="15" t="str">
        <f>HYPERLINK("https://www.ejacket.nsf.gov/ej/showProposal.do?ID="&amp;ckAwdTable[[#This Row],[prop_id]],"eJ")</f>
        <v>eJ</v>
      </c>
      <c r="Q18" s="8" t="s">
        <v>742</v>
      </c>
      <c r="R18" t="s">
        <v>2055</v>
      </c>
      <c r="S18" t="s">
        <v>2056</v>
      </c>
      <c r="T18" t="s">
        <v>2057</v>
      </c>
      <c r="U18" s="8" t="s">
        <v>2058</v>
      </c>
      <c r="V18" t="s">
        <v>340</v>
      </c>
      <c r="W18" s="113" t="str">
        <f>HYPERLINK("mailto:"&amp; ckAwdTable[[#This Row],[email]]&amp;"&amp;subject=Your NSF Proposal:  "&amp;ckAwdTable[[#This Row],[prop_id]], ckAwdTable[[#This Row],[email]])</f>
        <v>risi@cs.uchicago.edu</v>
      </c>
      <c r="X18" s="30">
        <v>42979</v>
      </c>
      <c r="Y18">
        <v>36</v>
      </c>
      <c r="AA18" s="21" t="s">
        <v>13</v>
      </c>
      <c r="AB18" s="21" t="s">
        <v>424</v>
      </c>
      <c r="AC18"/>
      <c r="AD18" s="21" t="s">
        <v>13</v>
      </c>
      <c r="AF18" s="124">
        <v>150000</v>
      </c>
      <c r="AG18" s="21">
        <v>0</v>
      </c>
      <c r="AH18" s="1">
        <v>150000</v>
      </c>
      <c r="AI18" s="1"/>
      <c r="AJ18" s="1"/>
      <c r="AM18" s="21">
        <v>3</v>
      </c>
      <c r="AN18" s="21">
        <v>3</v>
      </c>
      <c r="AO18" s="21">
        <v>3</v>
      </c>
      <c r="AP18" s="21"/>
      <c r="AQ18" s="21"/>
      <c r="AR18" s="8" t="s">
        <v>1971</v>
      </c>
      <c r="AS18" s="21" t="s">
        <v>1989</v>
      </c>
      <c r="AT18" s="21" t="str">
        <f>IFERROR(IF(FIND("?",ckAwdTable[abst_narr_txt]),SummarizeQuestMarks(ckAwdTable[abst_narr_txt]),""),"")</f>
        <v/>
      </c>
      <c r="AU18" s="21"/>
      <c r="AV18" t="s">
        <v>2059</v>
      </c>
      <c r="AW18" t="b">
        <f>AND(ckAwdTable[[#This Row],[ILN]]&gt;"M", SUBSTITUTE(ckAwdTable[[#This Row],[prop_titl_txt]]," ","")&lt;&gt;SUBSTITUTE(AV17," ",""))</f>
        <v>0</v>
      </c>
      <c r="AX18" s="8" t="s">
        <v>2060</v>
      </c>
    </row>
    <row r="19" spans="1:50">
      <c r="A19" s="30">
        <v>42933.40896990741</v>
      </c>
      <c r="B19" s="30">
        <v>42808.710416666669</v>
      </c>
      <c r="C19" t="s">
        <v>1965</v>
      </c>
      <c r="D19" t="s">
        <v>741</v>
      </c>
      <c r="E19" t="s">
        <v>901</v>
      </c>
      <c r="F19" t="s">
        <v>942</v>
      </c>
      <c r="G19" s="8" t="s">
        <v>1974</v>
      </c>
      <c r="H19" s="8" t="s">
        <v>170</v>
      </c>
      <c r="I19" s="8" t="s">
        <v>2709</v>
      </c>
      <c r="J19" t="s">
        <v>94</v>
      </c>
      <c r="K19" t="s">
        <v>1967</v>
      </c>
      <c r="L19" s="22">
        <v>42928.395983796298</v>
      </c>
      <c r="M19" s="109">
        <f xml:space="preserve"> M18+(ckAwdTable[ILN]&lt;"M")</f>
        <v>9</v>
      </c>
      <c r="N19" t="s">
        <v>96</v>
      </c>
      <c r="O19" t="s">
        <v>1052</v>
      </c>
      <c r="P19" s="15" t="str">
        <f>HYPERLINK("https://www.ejacket.nsf.gov/ej/showProposal.do?ID="&amp;ckAwdTable[[#This Row],[prop_id]],"eJ")</f>
        <v>eJ</v>
      </c>
      <c r="Q19" s="8" t="s">
        <v>742</v>
      </c>
      <c r="R19" t="s">
        <v>1052</v>
      </c>
      <c r="S19" t="s">
        <v>1053</v>
      </c>
      <c r="T19" t="s">
        <v>2061</v>
      </c>
      <c r="U19" s="8" t="s">
        <v>247</v>
      </c>
      <c r="V19" t="s">
        <v>254</v>
      </c>
      <c r="W19" s="113" t="str">
        <f>HYPERLINK("mailto:"&amp; ckAwdTable[[#This Row],[email]]&amp;"&amp;subject=Your NSF Proposal:  "&amp;ckAwdTable[[#This Row],[prop_id]], ckAwdTable[[#This Row],[email]])</f>
        <v>swright@cs.wisc.edu</v>
      </c>
      <c r="X19" s="30">
        <v>42979</v>
      </c>
      <c r="Y19">
        <v>36</v>
      </c>
      <c r="AA19" s="21" t="s">
        <v>13</v>
      </c>
      <c r="AB19" s="21" t="s">
        <v>424</v>
      </c>
      <c r="AC19"/>
      <c r="AD19" s="21" t="s">
        <v>13</v>
      </c>
      <c r="AE19" s="21" t="s">
        <v>2710</v>
      </c>
      <c r="AF19" s="124">
        <v>1499193</v>
      </c>
      <c r="AG19" s="21">
        <v>1</v>
      </c>
      <c r="AH19" s="1">
        <v>1499523</v>
      </c>
      <c r="AI19" s="1"/>
      <c r="AJ19" s="1">
        <v>30000</v>
      </c>
      <c r="AK19" s="1">
        <v>197818</v>
      </c>
      <c r="AL19" s="1">
        <v>50000</v>
      </c>
      <c r="AM19" s="21">
        <v>13</v>
      </c>
      <c r="AN19" s="21">
        <v>13</v>
      </c>
      <c r="AO19" s="21">
        <v>7</v>
      </c>
      <c r="AP19" s="21"/>
      <c r="AQ19" s="21"/>
      <c r="AR19" s="8" t="s">
        <v>1977</v>
      </c>
      <c r="AS19" s="21" t="s">
        <v>1989</v>
      </c>
      <c r="AT19" s="21" t="str">
        <f>IFERROR(IF(FIND("?",ckAwdTable[abst_narr_txt]),SummarizeQuestMarks(ckAwdTable[abst_narr_txt]),""),"")</f>
        <v/>
      </c>
      <c r="AU19" s="21" t="s">
        <v>1055</v>
      </c>
      <c r="AV19" t="s">
        <v>2063</v>
      </c>
      <c r="AW19" t="b">
        <f>AND(ckAwdTable[[#This Row],[ILN]]&gt;"M", SUBSTITUTE(ckAwdTable[[#This Row],[prop_titl_txt]]," ","")&lt;&gt;SUBSTITUTE(AV18," ",""))</f>
        <v>0</v>
      </c>
      <c r="AX19" s="8" t="s">
        <v>2064</v>
      </c>
    </row>
    <row r="20" spans="1:50">
      <c r="A20" s="30">
        <v>42955.684733796297</v>
      </c>
      <c r="B20" s="30">
        <v>42809.402083333334</v>
      </c>
      <c r="C20" t="s">
        <v>1965</v>
      </c>
      <c r="D20" t="s">
        <v>741</v>
      </c>
      <c r="E20" t="s">
        <v>901</v>
      </c>
      <c r="F20" t="s">
        <v>942</v>
      </c>
      <c r="G20" s="8" t="s">
        <v>1966</v>
      </c>
      <c r="H20" s="8" t="s">
        <v>170</v>
      </c>
      <c r="I20" s="8" t="s">
        <v>2709</v>
      </c>
      <c r="J20" t="s">
        <v>94</v>
      </c>
      <c r="K20" t="s">
        <v>1967</v>
      </c>
      <c r="L20" s="22">
        <v>42954.395104166666</v>
      </c>
      <c r="M20" s="109">
        <f xml:space="preserve"> M19+(ckAwdTable[ILN]&lt;"M")</f>
        <v>10</v>
      </c>
      <c r="N20" t="s">
        <v>96</v>
      </c>
      <c r="O20" t="s">
        <v>1064</v>
      </c>
      <c r="P20" s="15" t="str">
        <f>HYPERLINK("https://www.ejacket.nsf.gov/ej/showProposal.do?ID="&amp;ckAwdTable[[#This Row],[prop_id]],"eJ")</f>
        <v>eJ</v>
      </c>
      <c r="Q20" s="8" t="s">
        <v>742</v>
      </c>
      <c r="R20" t="s">
        <v>1064</v>
      </c>
      <c r="S20" t="s">
        <v>1065</v>
      </c>
      <c r="T20" t="s">
        <v>2066</v>
      </c>
      <c r="U20" s="8" t="s">
        <v>2067</v>
      </c>
      <c r="V20" t="s">
        <v>2065</v>
      </c>
      <c r="W20" s="113" t="str">
        <f>HYPERLINK("mailto:"&amp; ckAwdTable[[#This Row],[email]]&amp;"&amp;subject=Your NSF Proposal:  "&amp;ckAwdTable[[#This Row],[prop_id]], ckAwdTable[[#This Row],[email]])</f>
        <v>tianbao-yang@uiowa.edu</v>
      </c>
      <c r="X20" s="30">
        <v>43101</v>
      </c>
      <c r="Y20">
        <v>36</v>
      </c>
      <c r="AA20" s="21" t="s">
        <v>13</v>
      </c>
      <c r="AB20" s="21" t="s">
        <v>424</v>
      </c>
      <c r="AC20"/>
      <c r="AD20" s="21" t="s">
        <v>13</v>
      </c>
      <c r="AE20" s="21" t="s">
        <v>2710</v>
      </c>
      <c r="AF20" s="124">
        <v>1496165</v>
      </c>
      <c r="AG20" s="21">
        <v>0</v>
      </c>
      <c r="AH20" s="1">
        <v>1496165</v>
      </c>
      <c r="AI20" s="1"/>
      <c r="AJ20" s="1">
        <v>82600</v>
      </c>
      <c r="AM20" s="21">
        <v>20</v>
      </c>
      <c r="AN20" s="21">
        <v>27</v>
      </c>
      <c r="AO20" s="21">
        <v>11.4</v>
      </c>
      <c r="AP20" s="21"/>
      <c r="AQ20" s="21"/>
      <c r="AR20" s="8" t="s">
        <v>1971</v>
      </c>
      <c r="AS20" s="21" t="s">
        <v>1989</v>
      </c>
      <c r="AT20" s="21" t="str">
        <f>IFERROR(IF(FIND("?",ckAwdTable[abst_narr_txt]),SummarizeQuestMarks(ckAwdTable[abst_narr_txt]),""),"")</f>
        <v/>
      </c>
      <c r="AU20" s="21"/>
      <c r="AV20" t="s">
        <v>2068</v>
      </c>
      <c r="AW20" t="b">
        <f>AND(ckAwdTable[[#This Row],[ILN]]&gt;"M", SUBSTITUTE(ckAwdTable[[#This Row],[prop_titl_txt]]," ","")&lt;&gt;SUBSTITUTE(AV19," ",""))</f>
        <v>0</v>
      </c>
      <c r="AX20" s="8" t="s">
        <v>2069</v>
      </c>
    </row>
    <row r="21" spans="1:50">
      <c r="A21" s="30">
        <v>42964.70815972222</v>
      </c>
      <c r="B21" s="30">
        <v>42809.422222222223</v>
      </c>
      <c r="C21" t="s">
        <v>1965</v>
      </c>
      <c r="D21" t="s">
        <v>741</v>
      </c>
      <c r="E21" t="s">
        <v>901</v>
      </c>
      <c r="F21" t="s">
        <v>948</v>
      </c>
      <c r="G21" s="8" t="s">
        <v>1966</v>
      </c>
      <c r="H21" s="8" t="s">
        <v>170</v>
      </c>
      <c r="I21" s="8" t="s">
        <v>2709</v>
      </c>
      <c r="J21" t="s">
        <v>94</v>
      </c>
      <c r="K21" t="s">
        <v>1967</v>
      </c>
      <c r="L21" s="22">
        <v>42958.628692129627</v>
      </c>
      <c r="M21" s="109">
        <f xml:space="preserve"> M20+(ckAwdTable[ILN]&lt;"M")</f>
        <v>11</v>
      </c>
      <c r="N21" t="s">
        <v>1981</v>
      </c>
      <c r="O21" t="s">
        <v>1073</v>
      </c>
      <c r="P21" s="15" t="str">
        <f>HYPERLINK("https://www.ejacket.nsf.gov/ej/showProposal.do?ID="&amp;ckAwdTable[[#This Row],[prop_id]],"eJ")</f>
        <v>eJ</v>
      </c>
      <c r="Q21" s="8" t="s">
        <v>742</v>
      </c>
      <c r="R21" t="s">
        <v>1073</v>
      </c>
      <c r="S21" t="s">
        <v>1074</v>
      </c>
      <c r="T21" t="s">
        <v>2070</v>
      </c>
      <c r="U21" s="8" t="s">
        <v>2071</v>
      </c>
      <c r="V21" t="s">
        <v>2065</v>
      </c>
      <c r="W21" s="113" t="str">
        <f>HYPERLINK("mailto:"&amp; ckAwdTable[[#This Row],[email]]&amp;"&amp;subject=Your NSF Proposal:  "&amp;ckAwdTable[[#This Row],[prop_id]], ckAwdTable[[#This Row],[email]])</f>
        <v>hridesh@iastate.edu</v>
      </c>
      <c r="X21" s="30">
        <v>43009</v>
      </c>
      <c r="Y21">
        <v>36</v>
      </c>
      <c r="AA21" s="21" t="s">
        <v>13</v>
      </c>
      <c r="AB21" s="21" t="s">
        <v>424</v>
      </c>
      <c r="AC21"/>
      <c r="AD21" s="21" t="s">
        <v>13</v>
      </c>
      <c r="AE21" s="21" t="s">
        <v>2710</v>
      </c>
      <c r="AF21" s="124">
        <v>1195362</v>
      </c>
      <c r="AG21" s="21">
        <v>0</v>
      </c>
      <c r="AH21" s="1">
        <v>1195362</v>
      </c>
      <c r="AI21" s="1">
        <v>357898</v>
      </c>
      <c r="AJ21" s="1"/>
      <c r="AM21" s="21">
        <v>12</v>
      </c>
      <c r="AN21" s="21">
        <v>21</v>
      </c>
      <c r="AO21" s="21"/>
      <c r="AP21" s="21">
        <v>4.2</v>
      </c>
      <c r="AQ21" s="21"/>
      <c r="AR21" s="8" t="s">
        <v>1971</v>
      </c>
      <c r="AS21" s="21" t="s">
        <v>1989</v>
      </c>
      <c r="AT21" s="21" t="str">
        <f>IFERROR(IF(FIND("?",ckAwdTable[abst_narr_txt]),SummarizeQuestMarks(ckAwdTable[abst_narr_txt]),""),"")</f>
        <v/>
      </c>
      <c r="AU21" s="21"/>
      <c r="AV21" t="s">
        <v>2073</v>
      </c>
      <c r="AW21" t="b">
        <f>AND(ckAwdTable[[#This Row],[ILN]]&gt;"M", SUBSTITUTE(ckAwdTable[[#This Row],[prop_titl_txt]]," ","")&lt;&gt;SUBSTITUTE(AV20," ",""))</f>
        <v>0</v>
      </c>
      <c r="AX21" s="8" t="s">
        <v>2074</v>
      </c>
    </row>
    <row r="22" spans="1:50">
      <c r="A22" s="30">
        <v>42964.70815972222</v>
      </c>
      <c r="B22" s="30">
        <v>42808.477083333331</v>
      </c>
      <c r="C22" t="s">
        <v>1965</v>
      </c>
      <c r="D22" t="s">
        <v>741</v>
      </c>
      <c r="E22" t="s">
        <v>901</v>
      </c>
      <c r="F22" t="s">
        <v>948</v>
      </c>
      <c r="G22" s="8" t="s">
        <v>1966</v>
      </c>
      <c r="H22" s="8" t="s">
        <v>170</v>
      </c>
      <c r="I22" s="8" t="s">
        <v>2709</v>
      </c>
      <c r="J22" t="s">
        <v>94</v>
      </c>
      <c r="K22" t="s">
        <v>1967</v>
      </c>
      <c r="L22" s="22">
        <v>42958.628692129627</v>
      </c>
      <c r="M22" s="109">
        <f xml:space="preserve"> M21+(ckAwdTable[ILN]&lt;"M")</f>
        <v>11</v>
      </c>
      <c r="N22" t="s">
        <v>1989</v>
      </c>
      <c r="O22" t="s">
        <v>1073</v>
      </c>
      <c r="P22" s="15" t="str">
        <f>HYPERLINK("https://www.ejacket.nsf.gov/ej/showProposal.do?ID="&amp;ckAwdTable[[#This Row],[prop_id]],"eJ")</f>
        <v>eJ</v>
      </c>
      <c r="Q22" s="8" t="s">
        <v>742</v>
      </c>
      <c r="R22" t="s">
        <v>2075</v>
      </c>
      <c r="S22" t="s">
        <v>2076</v>
      </c>
      <c r="T22" t="s">
        <v>2077</v>
      </c>
      <c r="U22" s="8" t="s">
        <v>2078</v>
      </c>
      <c r="V22" t="s">
        <v>2039</v>
      </c>
      <c r="W22" s="113" t="str">
        <f>HYPERLINK("mailto:"&amp; ckAwdTable[[#This Row],[email]]&amp;"&amp;subject=Your NSF Proposal:  "&amp;ckAwdTable[[#This Row],[prop_id]], ckAwdTable[[#This Row],[email]])</f>
        <v>plale@cs.indiana.edu</v>
      </c>
      <c r="X22" s="30">
        <v>43009</v>
      </c>
      <c r="Y22">
        <v>36</v>
      </c>
      <c r="AA22" s="21" t="s">
        <v>13</v>
      </c>
      <c r="AB22" s="21" t="s">
        <v>424</v>
      </c>
      <c r="AC22"/>
      <c r="AD22" s="21" t="s">
        <v>13</v>
      </c>
      <c r="AF22" s="124">
        <v>302228</v>
      </c>
      <c r="AG22" s="21">
        <v>0</v>
      </c>
      <c r="AH22" s="1">
        <v>302228</v>
      </c>
      <c r="AI22" s="1"/>
      <c r="AJ22" s="1"/>
      <c r="AM22" s="21">
        <v>3</v>
      </c>
      <c r="AN22" s="21">
        <v>12</v>
      </c>
      <c r="AO22" s="21">
        <v>1.8</v>
      </c>
      <c r="AP22" s="21"/>
      <c r="AQ22" s="21">
        <v>1.8</v>
      </c>
      <c r="AR22" s="8" t="s">
        <v>1971</v>
      </c>
      <c r="AS22" s="21" t="s">
        <v>1989</v>
      </c>
      <c r="AT22" s="21" t="str">
        <f>IFERROR(IF(FIND("?",ckAwdTable[abst_narr_txt]),SummarizeQuestMarks(ckAwdTable[abst_narr_txt]),""),"")</f>
        <v/>
      </c>
      <c r="AU22" s="21"/>
      <c r="AV22" t="s">
        <v>2073</v>
      </c>
      <c r="AW22" t="b">
        <f>AND(ckAwdTable[[#This Row],[ILN]]&gt;"M", SUBSTITUTE(ckAwdTable[[#This Row],[prop_titl_txt]]," ","")&lt;&gt;SUBSTITUTE(AV21," ",""))</f>
        <v>0</v>
      </c>
      <c r="AX22" s="8" t="s">
        <v>2079</v>
      </c>
    </row>
    <row r="23" spans="1:50">
      <c r="A23" s="30">
        <v>42955.686261574076</v>
      </c>
      <c r="B23" s="30">
        <v>42809.441666666666</v>
      </c>
      <c r="C23" t="s">
        <v>1965</v>
      </c>
      <c r="D23" t="s">
        <v>741</v>
      </c>
      <c r="E23" t="s">
        <v>901</v>
      </c>
      <c r="F23" t="s">
        <v>540</v>
      </c>
      <c r="G23" s="8" t="s">
        <v>1966</v>
      </c>
      <c r="H23" s="8" t="s">
        <v>170</v>
      </c>
      <c r="I23" s="8" t="s">
        <v>2709</v>
      </c>
      <c r="J23" t="s">
        <v>94</v>
      </c>
      <c r="K23" t="s">
        <v>1967</v>
      </c>
      <c r="L23" s="22">
        <v>42914.640416666669</v>
      </c>
      <c r="M23" s="109">
        <f xml:space="preserve"> M22+(ckAwdTable[ILN]&lt;"M")</f>
        <v>12</v>
      </c>
      <c r="N23" t="s">
        <v>96</v>
      </c>
      <c r="O23" t="s">
        <v>1081</v>
      </c>
      <c r="P23" s="15" t="str">
        <f>HYPERLINK("https://www.ejacket.nsf.gov/ej/showProposal.do?ID="&amp;ckAwdTable[[#This Row],[prop_id]],"eJ")</f>
        <v>eJ</v>
      </c>
      <c r="Q23" s="8" t="s">
        <v>742</v>
      </c>
      <c r="R23" t="s">
        <v>1081</v>
      </c>
      <c r="S23" t="s">
        <v>1082</v>
      </c>
      <c r="T23" t="s">
        <v>2080</v>
      </c>
      <c r="U23" s="8" t="s">
        <v>2081</v>
      </c>
      <c r="V23" t="s">
        <v>98</v>
      </c>
      <c r="W23" s="113" t="str">
        <f>HYPERLINK("mailto:"&amp; ckAwdTable[[#This Row],[email]]&amp;"&amp;subject=Your NSF Proposal:  "&amp;ckAwdTable[[#This Row],[prop_id]], ckAwdTable[[#This Row],[email]])</f>
        <v>noah_daniels@uri.edu</v>
      </c>
      <c r="X23" s="30">
        <v>42979</v>
      </c>
      <c r="Y23">
        <v>36</v>
      </c>
      <c r="AA23" s="21" t="s">
        <v>13</v>
      </c>
      <c r="AB23" s="21" t="s">
        <v>424</v>
      </c>
      <c r="AC23"/>
      <c r="AD23" s="21" t="s">
        <v>13</v>
      </c>
      <c r="AE23" s="21" t="s">
        <v>2714</v>
      </c>
      <c r="AF23" s="124">
        <v>1319163</v>
      </c>
      <c r="AG23" s="21">
        <v>0</v>
      </c>
      <c r="AH23" s="1">
        <v>1319163</v>
      </c>
      <c r="AI23" s="1"/>
      <c r="AJ23" s="1">
        <v>15000</v>
      </c>
      <c r="AK23" s="1">
        <v>155628</v>
      </c>
      <c r="AL23" s="1">
        <v>66000</v>
      </c>
      <c r="AM23" s="21">
        <v>23</v>
      </c>
      <c r="AN23" s="21">
        <v>9</v>
      </c>
      <c r="AO23" s="21">
        <v>18</v>
      </c>
      <c r="AP23" s="21"/>
      <c r="AQ23" s="21"/>
      <c r="AR23" s="8" t="s">
        <v>1971</v>
      </c>
      <c r="AS23" s="21" t="s">
        <v>1989</v>
      </c>
      <c r="AT23" s="21" t="str">
        <f>IFERROR(IF(FIND("?",ckAwdTable[abst_narr_txt]),SummarizeQuestMarks(ckAwdTable[abst_narr_txt]),""),"")</f>
        <v/>
      </c>
      <c r="AU23" s="21"/>
      <c r="AV23" t="s">
        <v>2083</v>
      </c>
      <c r="AW23" t="b">
        <f>AND(ckAwdTable[[#This Row],[ILN]]&gt;"M", SUBSTITUTE(ckAwdTable[[#This Row],[prop_titl_txt]]," ","")&lt;&gt;SUBSTITUTE(AV22," ",""))</f>
        <v>0</v>
      </c>
      <c r="AX23" s="8" t="s">
        <v>2084</v>
      </c>
    </row>
    <row r="24" spans="1:50">
      <c r="A24" s="30">
        <v>42933.475868055553</v>
      </c>
      <c r="B24" s="30">
        <v>42809.474999999999</v>
      </c>
      <c r="C24" t="s">
        <v>1965</v>
      </c>
      <c r="D24" t="s">
        <v>741</v>
      </c>
      <c r="E24" t="s">
        <v>901</v>
      </c>
      <c r="F24" t="s">
        <v>540</v>
      </c>
      <c r="G24" s="8" t="s">
        <v>1974</v>
      </c>
      <c r="H24" s="8" t="s">
        <v>170</v>
      </c>
      <c r="I24" s="8" t="s">
        <v>2709</v>
      </c>
      <c r="J24" t="s">
        <v>94</v>
      </c>
      <c r="K24" t="s">
        <v>1967</v>
      </c>
      <c r="L24" s="22">
        <v>42927.466689814813</v>
      </c>
      <c r="M24" s="109">
        <f xml:space="preserve"> M23+(ckAwdTable[ILN]&lt;"M")</f>
        <v>13</v>
      </c>
      <c r="N24" t="s">
        <v>96</v>
      </c>
      <c r="O24" t="s">
        <v>1094</v>
      </c>
      <c r="P24" s="15" t="str">
        <f>HYPERLINK("https://www.ejacket.nsf.gov/ej/showProposal.do?ID="&amp;ckAwdTable[[#This Row],[prop_id]],"eJ")</f>
        <v>eJ</v>
      </c>
      <c r="Q24" s="8" t="s">
        <v>742</v>
      </c>
      <c r="R24" t="s">
        <v>1094</v>
      </c>
      <c r="S24" t="s">
        <v>1095</v>
      </c>
      <c r="T24" t="s">
        <v>2086</v>
      </c>
      <c r="U24" s="8" t="s">
        <v>2087</v>
      </c>
      <c r="V24" t="s">
        <v>98</v>
      </c>
      <c r="W24" s="113" t="str">
        <f>HYPERLINK("mailto:"&amp; ckAwdTable[[#This Row],[email]]&amp;"&amp;subject=Your NSF Proposal:  "&amp;ckAwdTable[[#This Row],[prop_id]], ckAwdTable[[#This Row],[email]])</f>
        <v>Jeff_Brock@brown.edu</v>
      </c>
      <c r="X24" s="30">
        <v>42979</v>
      </c>
      <c r="Y24">
        <v>36</v>
      </c>
      <c r="AA24" s="21" t="s">
        <v>13</v>
      </c>
      <c r="AB24" s="21" t="s">
        <v>424</v>
      </c>
      <c r="AC24"/>
      <c r="AD24" s="21" t="s">
        <v>13</v>
      </c>
      <c r="AF24" s="124">
        <v>1482177</v>
      </c>
      <c r="AG24" s="21">
        <v>0</v>
      </c>
      <c r="AH24" s="1">
        <v>1482177</v>
      </c>
      <c r="AI24" s="1"/>
      <c r="AJ24" s="1"/>
      <c r="AK24" s="1">
        <v>204000</v>
      </c>
      <c r="AL24" s="1">
        <v>330000</v>
      </c>
      <c r="AM24" s="21">
        <v>15</v>
      </c>
      <c r="AN24" s="21">
        <v>15</v>
      </c>
      <c r="AO24" s="21">
        <v>7.5</v>
      </c>
      <c r="AP24" s="21"/>
      <c r="AQ24" s="21"/>
      <c r="AR24" s="8" t="s">
        <v>1977</v>
      </c>
      <c r="AS24" s="21" t="s">
        <v>1989</v>
      </c>
      <c r="AT24" s="21" t="str">
        <f>IFERROR(IF(FIND("?",ckAwdTable[abst_narr_txt]),SummarizeQuestMarks(ckAwdTable[abst_narr_txt]),""),"")</f>
        <v/>
      </c>
      <c r="AU24" s="21" t="s">
        <v>1097</v>
      </c>
      <c r="AV24" t="s">
        <v>2088</v>
      </c>
      <c r="AW24" t="b">
        <f>AND(ckAwdTable[[#This Row],[ILN]]&gt;"M", SUBSTITUTE(ckAwdTable[[#This Row],[prop_titl_txt]]," ","")&lt;&gt;SUBSTITUTE(AV23," ",""))</f>
        <v>0</v>
      </c>
      <c r="AX24" s="8" t="s">
        <v>2089</v>
      </c>
    </row>
    <row r="25" spans="1:50">
      <c r="A25" s="30">
        <v>42955.725289351853</v>
      </c>
      <c r="B25" s="30">
        <v>42809.494444444441</v>
      </c>
      <c r="C25" t="s">
        <v>1965</v>
      </c>
      <c r="D25" t="s">
        <v>741</v>
      </c>
      <c r="E25" t="s">
        <v>901</v>
      </c>
      <c r="F25" t="s">
        <v>540</v>
      </c>
      <c r="G25" s="8" t="s">
        <v>1966</v>
      </c>
      <c r="H25" s="8" t="s">
        <v>170</v>
      </c>
      <c r="I25" s="8" t="s">
        <v>2709</v>
      </c>
      <c r="J25" t="s">
        <v>94</v>
      </c>
      <c r="K25" t="s">
        <v>1967</v>
      </c>
      <c r="L25" s="22">
        <v>42914.640474537038</v>
      </c>
      <c r="M25" s="109">
        <f xml:space="preserve"> M24+(ckAwdTable[ILN]&lt;"M")</f>
        <v>14</v>
      </c>
      <c r="N25" t="s">
        <v>1981</v>
      </c>
      <c r="O25" t="s">
        <v>1112</v>
      </c>
      <c r="P25" s="15" t="str">
        <f>HYPERLINK("https://www.ejacket.nsf.gov/ej/showProposal.do?ID="&amp;ckAwdTable[[#This Row],[prop_id]],"eJ")</f>
        <v>eJ</v>
      </c>
      <c r="Q25" s="8" t="s">
        <v>742</v>
      </c>
      <c r="R25" t="s">
        <v>1112</v>
      </c>
      <c r="S25" t="s">
        <v>1113</v>
      </c>
      <c r="T25" t="s">
        <v>2090</v>
      </c>
      <c r="U25" s="8" t="s">
        <v>775</v>
      </c>
      <c r="V25" t="s">
        <v>257</v>
      </c>
      <c r="W25" s="113" t="str">
        <f>HYPERLINK("mailto:"&amp; ckAwdTable[[#This Row],[email]]&amp;"&amp;subject=Your NSF Proposal:  "&amp;ckAwdTable[[#This Row],[prop_id]], ckAwdTable[[#This Row],[email]])</f>
        <v>EDELMAN@MATH.MIT.EDU</v>
      </c>
      <c r="X25" s="30">
        <v>43009</v>
      </c>
      <c r="Y25">
        <v>36</v>
      </c>
      <c r="AA25" s="21" t="s">
        <v>13</v>
      </c>
      <c r="AB25" s="21" t="s">
        <v>424</v>
      </c>
      <c r="AC25"/>
      <c r="AD25" s="21" t="s">
        <v>13</v>
      </c>
      <c r="AF25" s="124">
        <v>600000</v>
      </c>
      <c r="AG25" s="21">
        <v>0</v>
      </c>
      <c r="AH25" s="1">
        <v>600000</v>
      </c>
      <c r="AI25" s="1"/>
      <c r="AJ25" s="1"/>
      <c r="AM25" s="21"/>
      <c r="AN25" s="21"/>
      <c r="AO25" s="21"/>
      <c r="AP25" s="21"/>
      <c r="AQ25" s="21"/>
      <c r="AR25" s="8" t="s">
        <v>1971</v>
      </c>
      <c r="AS25" s="21" t="s">
        <v>1989</v>
      </c>
      <c r="AT25" s="21" t="str">
        <f>IFERROR(IF(FIND("?",ckAwdTable[abst_narr_txt]),SummarizeQuestMarks(ckAwdTable[abst_narr_txt]),""),"")</f>
        <v/>
      </c>
      <c r="AU25" s="21"/>
      <c r="AV25" t="s">
        <v>2091</v>
      </c>
      <c r="AW25" t="b">
        <f>AND(ckAwdTable[[#This Row],[ILN]]&gt;"M", SUBSTITUTE(ckAwdTable[[#This Row],[prop_titl_txt]]," ","")&lt;&gt;SUBSTITUTE(AV24," ",""))</f>
        <v>0</v>
      </c>
      <c r="AX25" s="8" t="s">
        <v>2092</v>
      </c>
    </row>
    <row r="26" spans="1:50">
      <c r="A26" s="30">
        <v>42955.725289351853</v>
      </c>
      <c r="B26" s="30">
        <v>42808.49722222222</v>
      </c>
      <c r="C26" t="s">
        <v>1965</v>
      </c>
      <c r="D26" t="s">
        <v>741</v>
      </c>
      <c r="E26" t="s">
        <v>901</v>
      </c>
      <c r="F26" t="s">
        <v>540</v>
      </c>
      <c r="G26" s="8" t="s">
        <v>1966</v>
      </c>
      <c r="H26" s="8" t="s">
        <v>170</v>
      </c>
      <c r="I26" s="8" t="s">
        <v>2709</v>
      </c>
      <c r="J26" t="s">
        <v>94</v>
      </c>
      <c r="K26" t="s">
        <v>1967</v>
      </c>
      <c r="L26" s="22">
        <v>42914.640474537038</v>
      </c>
      <c r="M26" s="109">
        <f xml:space="preserve"> M25+(ckAwdTable[ILN]&lt;"M")</f>
        <v>14</v>
      </c>
      <c r="N26" t="s">
        <v>1989</v>
      </c>
      <c r="O26" t="s">
        <v>1112</v>
      </c>
      <c r="P26" s="15" t="str">
        <f>HYPERLINK("https://www.ejacket.nsf.gov/ej/showProposal.do?ID="&amp;ckAwdTable[[#This Row],[prop_id]],"eJ")</f>
        <v>eJ</v>
      </c>
      <c r="Q26" s="8" t="s">
        <v>742</v>
      </c>
      <c r="R26" t="s">
        <v>2093</v>
      </c>
      <c r="S26" t="s">
        <v>2094</v>
      </c>
      <c r="T26" t="s">
        <v>2095</v>
      </c>
      <c r="U26" s="8" t="s">
        <v>2096</v>
      </c>
      <c r="V26" t="s">
        <v>257</v>
      </c>
      <c r="W26" s="113" t="str">
        <f>HYPERLINK("mailto:"&amp; ckAwdTable[[#This Row],[email]]&amp;"&amp;subject=Your NSF Proposal:  "&amp;ckAwdTable[[#This Row],[prop_id]], ckAwdTable[[#This Row],[email]])</f>
        <v>johnq@jimmy.harvard.edu</v>
      </c>
      <c r="X26" s="30">
        <v>43009</v>
      </c>
      <c r="Y26">
        <v>36</v>
      </c>
      <c r="Z26" t="s">
        <v>2715</v>
      </c>
      <c r="AA26" s="21" t="s">
        <v>2716</v>
      </c>
      <c r="AB26" s="21" t="s">
        <v>200</v>
      </c>
      <c r="AC26"/>
      <c r="AD26" s="21" t="s">
        <v>13</v>
      </c>
      <c r="AF26" s="124">
        <v>450000</v>
      </c>
      <c r="AG26" s="21">
        <v>0</v>
      </c>
      <c r="AH26" s="1">
        <v>450000</v>
      </c>
      <c r="AI26" s="1"/>
      <c r="AJ26" s="1"/>
      <c r="AK26" s="1">
        <v>115470</v>
      </c>
      <c r="AM26" s="21"/>
      <c r="AN26" s="21">
        <v>3</v>
      </c>
      <c r="AO26" s="21"/>
      <c r="AP26" s="21"/>
      <c r="AQ26" s="21">
        <v>1.8</v>
      </c>
      <c r="AR26" s="8" t="s">
        <v>1971</v>
      </c>
      <c r="AS26" s="21" t="s">
        <v>1989</v>
      </c>
      <c r="AT26" s="21" t="str">
        <f>IFERROR(IF(FIND("?",ckAwdTable[abst_narr_txt]),SummarizeQuestMarks(ckAwdTable[abst_narr_txt]),""),"")</f>
        <v/>
      </c>
      <c r="AU26" s="21"/>
      <c r="AV26" t="s">
        <v>2091</v>
      </c>
      <c r="AW26" t="b">
        <f>AND(ckAwdTable[[#This Row],[ILN]]&gt;"M", SUBSTITUTE(ckAwdTable[[#This Row],[prop_titl_txt]]," ","")&lt;&gt;SUBSTITUTE(AV25," ",""))</f>
        <v>0</v>
      </c>
      <c r="AX26" s="8" t="s">
        <v>2097</v>
      </c>
    </row>
    <row r="27" spans="1:50">
      <c r="A27" s="30">
        <v>42955.725289351853</v>
      </c>
      <c r="B27" s="30">
        <v>42809.477083333331</v>
      </c>
      <c r="C27" t="s">
        <v>1965</v>
      </c>
      <c r="D27" t="s">
        <v>741</v>
      </c>
      <c r="E27" t="s">
        <v>901</v>
      </c>
      <c r="F27" t="s">
        <v>540</v>
      </c>
      <c r="G27" s="8" t="s">
        <v>1966</v>
      </c>
      <c r="H27" s="8" t="s">
        <v>170</v>
      </c>
      <c r="I27" s="8" t="s">
        <v>2709</v>
      </c>
      <c r="J27" t="s">
        <v>94</v>
      </c>
      <c r="K27" t="s">
        <v>1967</v>
      </c>
      <c r="L27" s="22">
        <v>42914.640474537038</v>
      </c>
      <c r="M27" s="109">
        <f xml:space="preserve"> M26+(ckAwdTable[ILN]&lt;"M")</f>
        <v>14</v>
      </c>
      <c r="N27" t="s">
        <v>1989</v>
      </c>
      <c r="O27" t="s">
        <v>1112</v>
      </c>
      <c r="P27" s="15" t="str">
        <f>HYPERLINK("https://www.ejacket.nsf.gov/ej/showProposal.do?ID="&amp;ckAwdTable[[#This Row],[prop_id]],"eJ")</f>
        <v>eJ</v>
      </c>
      <c r="Q27" s="8" t="s">
        <v>742</v>
      </c>
      <c r="R27" t="s">
        <v>2098</v>
      </c>
      <c r="S27" t="s">
        <v>2099</v>
      </c>
      <c r="T27" t="s">
        <v>2100</v>
      </c>
      <c r="U27" s="8" t="s">
        <v>2101</v>
      </c>
      <c r="V27" t="s">
        <v>258</v>
      </c>
      <c r="W27" s="113" t="str">
        <f>HYPERLINK("mailto:"&amp; ckAwdTable[[#This Row],[email]]&amp;"&amp;subject=Your NSF Proposal:  "&amp;ckAwdTable[[#This Row],[prop_id]], ckAwdTable[[#This Row],[email]])</f>
        <v>gelman@stat.columbia.edu</v>
      </c>
      <c r="X27" s="30">
        <v>43009</v>
      </c>
      <c r="Y27">
        <v>36</v>
      </c>
      <c r="AA27" s="21" t="s">
        <v>13</v>
      </c>
      <c r="AB27" s="21" t="s">
        <v>424</v>
      </c>
      <c r="AC27"/>
      <c r="AD27" s="21" t="s">
        <v>13</v>
      </c>
      <c r="AF27" s="124">
        <v>438059</v>
      </c>
      <c r="AG27" s="21">
        <v>1</v>
      </c>
      <c r="AH27" s="1">
        <v>438059</v>
      </c>
      <c r="AI27" s="1"/>
      <c r="AJ27" s="1"/>
      <c r="AM27" s="21"/>
      <c r="AN27" s="21">
        <v>3</v>
      </c>
      <c r="AO27" s="21">
        <v>0.75</v>
      </c>
      <c r="AP27" s="21"/>
      <c r="AQ27" s="21"/>
      <c r="AR27" s="8" t="s">
        <v>1971</v>
      </c>
      <c r="AS27" s="21" t="s">
        <v>1989</v>
      </c>
      <c r="AT27" s="21" t="str">
        <f>IFERROR(IF(FIND("?",ckAwdTable[abst_narr_txt]),SummarizeQuestMarks(ckAwdTable[abst_narr_txt]),""),"")</f>
        <v/>
      </c>
      <c r="AU27" s="21"/>
      <c r="AV27" t="s">
        <v>2091</v>
      </c>
      <c r="AW27" t="b">
        <f>AND(ckAwdTable[[#This Row],[ILN]]&gt;"M", SUBSTITUTE(ckAwdTable[[#This Row],[prop_titl_txt]]," ","")&lt;&gt;SUBSTITUTE(AV26," ",""))</f>
        <v>0</v>
      </c>
      <c r="AX27" s="8" t="s">
        <v>2102</v>
      </c>
    </row>
    <row r="28" spans="1:50">
      <c r="A28" s="30">
        <v>42934.517997685187</v>
      </c>
      <c r="B28" s="30">
        <v>42809.505555555559</v>
      </c>
      <c r="C28" t="s">
        <v>1965</v>
      </c>
      <c r="D28" t="s">
        <v>741</v>
      </c>
      <c r="E28" t="s">
        <v>901</v>
      </c>
      <c r="F28" t="s">
        <v>543</v>
      </c>
      <c r="G28" s="8" t="s">
        <v>1974</v>
      </c>
      <c r="H28" s="8" t="s">
        <v>170</v>
      </c>
      <c r="I28" s="8" t="s">
        <v>897</v>
      </c>
      <c r="J28" t="s">
        <v>94</v>
      </c>
      <c r="K28" t="s">
        <v>1967</v>
      </c>
      <c r="L28" s="22">
        <v>42933.641435185185</v>
      </c>
      <c r="M28" s="109">
        <f xml:space="preserve"> M27+(ckAwdTable[ILN]&lt;"M")</f>
        <v>15</v>
      </c>
      <c r="N28" t="s">
        <v>96</v>
      </c>
      <c r="O28" t="s">
        <v>1119</v>
      </c>
      <c r="P28" s="15" t="str">
        <f>HYPERLINK("https://www.ejacket.nsf.gov/ej/showProposal.do?ID="&amp;ckAwdTable[[#This Row],[prop_id]],"eJ")</f>
        <v>eJ</v>
      </c>
      <c r="Q28" s="8" t="s">
        <v>742</v>
      </c>
      <c r="R28" t="s">
        <v>1119</v>
      </c>
      <c r="S28" t="s">
        <v>1120</v>
      </c>
      <c r="T28" t="s">
        <v>2103</v>
      </c>
      <c r="U28" s="8" t="s">
        <v>775</v>
      </c>
      <c r="V28" t="s">
        <v>257</v>
      </c>
      <c r="W28" s="113" t="str">
        <f>HYPERLINK("mailto:"&amp; ckAwdTable[[#This Row],[email]]&amp;"&amp;subject=Your NSF Proposal:  "&amp;ckAwdTable[[#This Row],[prop_id]], ckAwdTable[[#This Row],[email]])</f>
        <v>indyk@mit.edu</v>
      </c>
      <c r="X28" s="30">
        <v>43009</v>
      </c>
      <c r="Y28">
        <v>36</v>
      </c>
      <c r="AA28" s="21" t="s">
        <v>13</v>
      </c>
      <c r="AB28" s="21" t="s">
        <v>424</v>
      </c>
      <c r="AC28"/>
      <c r="AD28" s="21" t="s">
        <v>13</v>
      </c>
      <c r="AF28" s="124">
        <v>1500000</v>
      </c>
      <c r="AG28" s="21">
        <v>1</v>
      </c>
      <c r="AH28" s="1">
        <v>1368500</v>
      </c>
      <c r="AI28" s="1"/>
      <c r="AJ28" s="1"/>
      <c r="AK28" s="1">
        <v>248951</v>
      </c>
      <c r="AM28" s="21"/>
      <c r="AN28" s="21">
        <v>15</v>
      </c>
      <c r="AO28" s="21">
        <v>12</v>
      </c>
      <c r="AP28" s="21"/>
      <c r="AQ28" s="21"/>
      <c r="AR28" s="8" t="s">
        <v>1977</v>
      </c>
      <c r="AS28" s="21" t="s">
        <v>1989</v>
      </c>
      <c r="AT28" s="21" t="str">
        <f>IFERROR(IF(FIND("?",ckAwdTable[abst_narr_txt]),SummarizeQuestMarks(ckAwdTable[abst_narr_txt]),""),"")</f>
        <v/>
      </c>
      <c r="AU28" s="21" t="s">
        <v>1123</v>
      </c>
      <c r="AV28" t="s">
        <v>2105</v>
      </c>
      <c r="AW28" t="b">
        <f>AND(ckAwdTable[[#This Row],[ILN]]&gt;"M", SUBSTITUTE(ckAwdTable[[#This Row],[prop_titl_txt]]," ","")&lt;&gt;SUBSTITUTE(AV27," ",""))</f>
        <v>0</v>
      </c>
      <c r="AX28" s="8" t="s">
        <v>2106</v>
      </c>
    </row>
    <row r="29" spans="1:50">
      <c r="A29" s="30">
        <v>42955.695937500001</v>
      </c>
      <c r="B29" s="30">
        <v>42809.513194444444</v>
      </c>
      <c r="C29" t="s">
        <v>1965</v>
      </c>
      <c r="D29" t="s">
        <v>741</v>
      </c>
      <c r="E29" t="s">
        <v>901</v>
      </c>
      <c r="F29" t="s">
        <v>540</v>
      </c>
      <c r="G29" s="8" t="s">
        <v>1966</v>
      </c>
      <c r="H29" s="8" t="s">
        <v>170</v>
      </c>
      <c r="I29" s="8" t="s">
        <v>2709</v>
      </c>
      <c r="J29" t="s">
        <v>94</v>
      </c>
      <c r="K29" t="s">
        <v>1967</v>
      </c>
      <c r="L29" s="22">
        <v>42914.640543981484</v>
      </c>
      <c r="M29" s="109">
        <f xml:space="preserve"> M28+(ckAwdTable[ILN]&lt;"M")</f>
        <v>16</v>
      </c>
      <c r="N29" t="s">
        <v>96</v>
      </c>
      <c r="O29" t="s">
        <v>1133</v>
      </c>
      <c r="P29" s="15" t="str">
        <f>HYPERLINK("https://www.ejacket.nsf.gov/ej/showProposal.do?ID="&amp;ckAwdTable[[#This Row],[prop_id]],"eJ")</f>
        <v>eJ</v>
      </c>
      <c r="Q29" s="8" t="s">
        <v>742</v>
      </c>
      <c r="R29" t="s">
        <v>1133</v>
      </c>
      <c r="S29" t="s">
        <v>1134</v>
      </c>
      <c r="T29" t="s">
        <v>2108</v>
      </c>
      <c r="U29" s="8" t="s">
        <v>2109</v>
      </c>
      <c r="V29" t="s">
        <v>2107</v>
      </c>
      <c r="W29" s="113" t="str">
        <f>HYPERLINK("mailto:"&amp; ckAwdTable[[#This Row],[email]]&amp;"&amp;subject=Your NSF Proposal:  "&amp;ckAwdTable[[#This Row],[prop_id]], ckAwdTable[[#This Row],[email]])</f>
        <v>brian@cse.lehigh.edu</v>
      </c>
      <c r="X29" s="30">
        <v>43009</v>
      </c>
      <c r="Y29">
        <v>36</v>
      </c>
      <c r="Z29" t="s">
        <v>2715</v>
      </c>
      <c r="AA29" s="21" t="s">
        <v>13</v>
      </c>
      <c r="AB29" s="21" t="s">
        <v>424</v>
      </c>
      <c r="AC29"/>
      <c r="AD29" s="21" t="s">
        <v>13</v>
      </c>
      <c r="AE29" s="21" t="s">
        <v>2717</v>
      </c>
      <c r="AF29" s="124">
        <v>1499915</v>
      </c>
      <c r="AG29" s="21">
        <v>0</v>
      </c>
      <c r="AH29" s="1">
        <v>1499915</v>
      </c>
      <c r="AI29" s="1"/>
      <c r="AJ29" s="1">
        <v>29000</v>
      </c>
      <c r="AK29" s="1">
        <v>170000</v>
      </c>
      <c r="AL29" s="1">
        <v>8000</v>
      </c>
      <c r="AM29" s="21">
        <v>18</v>
      </c>
      <c r="AN29" s="21">
        <v>36</v>
      </c>
      <c r="AO29" s="21">
        <v>12</v>
      </c>
      <c r="AP29" s="21"/>
      <c r="AQ29" s="21"/>
      <c r="AR29" s="8" t="s">
        <v>1971</v>
      </c>
      <c r="AS29" s="21" t="s">
        <v>1989</v>
      </c>
      <c r="AT29" s="21" t="str">
        <f>IFERROR(IF(FIND("?",ckAwdTable[abst_narr_txt]),SummarizeQuestMarks(ckAwdTable[abst_narr_txt]),""),"")</f>
        <v/>
      </c>
      <c r="AU29" s="21"/>
      <c r="AV29" t="s">
        <v>2111</v>
      </c>
      <c r="AW29" t="b">
        <f>AND(ckAwdTable[[#This Row],[ILN]]&gt;"M", SUBSTITUTE(ckAwdTable[[#This Row],[prop_titl_txt]]," ","")&lt;&gt;SUBSTITUTE(AV28," ",""))</f>
        <v>0</v>
      </c>
      <c r="AX29" s="8" t="s">
        <v>2112</v>
      </c>
    </row>
    <row r="30" spans="1:50">
      <c r="A30" s="30">
        <v>42957.72111111111</v>
      </c>
      <c r="B30" s="30">
        <v>42809.545138888891</v>
      </c>
      <c r="C30" t="s">
        <v>1965</v>
      </c>
      <c r="D30" t="s">
        <v>741</v>
      </c>
      <c r="E30" t="s">
        <v>901</v>
      </c>
      <c r="F30" t="s">
        <v>948</v>
      </c>
      <c r="G30" s="8" t="s">
        <v>1966</v>
      </c>
      <c r="H30" s="8" t="s">
        <v>170</v>
      </c>
      <c r="I30" s="8" t="s">
        <v>2709</v>
      </c>
      <c r="J30" t="s">
        <v>94</v>
      </c>
      <c r="K30" t="s">
        <v>1967</v>
      </c>
      <c r="L30" s="22">
        <v>42957.368842592594</v>
      </c>
      <c r="M30" s="109">
        <f xml:space="preserve"> M29+(ckAwdTable[ILN]&lt;"M")</f>
        <v>17</v>
      </c>
      <c r="N30" t="s">
        <v>1981</v>
      </c>
      <c r="O30" t="s">
        <v>1140</v>
      </c>
      <c r="P30" s="15" t="str">
        <f>HYPERLINK("https://www.ejacket.nsf.gov/ej/showProposal.do?ID="&amp;ckAwdTable[[#This Row],[prop_id]],"eJ")</f>
        <v>eJ</v>
      </c>
      <c r="Q30" s="8" t="s">
        <v>742</v>
      </c>
      <c r="R30" t="s">
        <v>1140</v>
      </c>
      <c r="S30" t="s">
        <v>1141</v>
      </c>
      <c r="T30" t="s">
        <v>2113</v>
      </c>
      <c r="U30" s="8" t="s">
        <v>342</v>
      </c>
      <c r="V30" t="s">
        <v>343</v>
      </c>
      <c r="W30" s="113" t="str">
        <f>HYPERLINK("mailto:"&amp; ckAwdTable[[#This Row],[email]]&amp;"&amp;subject=Your NSF Proposal:  "&amp;ckAwdTable[[#This Row],[prop_id]], ckAwdTable[[#This Row],[email]])</f>
        <v>annacg@umich.edu</v>
      </c>
      <c r="X30" s="30">
        <v>42979</v>
      </c>
      <c r="Y30">
        <v>36</v>
      </c>
      <c r="AA30" s="21" t="s">
        <v>13</v>
      </c>
      <c r="AB30" s="21" t="s">
        <v>424</v>
      </c>
      <c r="AC30"/>
      <c r="AD30" s="21" t="s">
        <v>13</v>
      </c>
      <c r="AE30" s="21" t="s">
        <v>2710</v>
      </c>
      <c r="AF30" s="124">
        <v>1063465</v>
      </c>
      <c r="AG30" s="21">
        <v>0</v>
      </c>
      <c r="AH30" s="1">
        <v>1063465</v>
      </c>
      <c r="AI30" s="1"/>
      <c r="AJ30" s="1">
        <v>12000</v>
      </c>
      <c r="AL30" s="1">
        <v>36000</v>
      </c>
      <c r="AM30" s="21">
        <v>6</v>
      </c>
      <c r="AN30" s="21">
        <v>6</v>
      </c>
      <c r="AO30" s="21">
        <v>1.35</v>
      </c>
      <c r="AP30" s="21"/>
      <c r="AQ30" s="21"/>
      <c r="AR30" s="8" t="s">
        <v>1971</v>
      </c>
      <c r="AS30" s="21" t="s">
        <v>1989</v>
      </c>
      <c r="AT30" s="21" t="str">
        <f>IFERROR(IF(FIND("?",ckAwdTable[abst_narr_txt]),SummarizeQuestMarks(ckAwdTable[abst_narr_txt]),""),"")</f>
        <v/>
      </c>
      <c r="AU30" s="21"/>
      <c r="AV30" t="s">
        <v>2115</v>
      </c>
      <c r="AW30" t="b">
        <f>AND(ckAwdTable[[#This Row],[ILN]]&gt;"M", SUBSTITUTE(ckAwdTable[[#This Row],[prop_titl_txt]]," ","")&lt;&gt;SUBSTITUTE(AV29," ",""))</f>
        <v>0</v>
      </c>
      <c r="AX30" s="8" t="s">
        <v>2116</v>
      </c>
    </row>
    <row r="31" spans="1:50">
      <c r="A31" s="30">
        <v>42957.72111111111</v>
      </c>
      <c r="B31" s="30">
        <v>42809.488194444442</v>
      </c>
      <c r="C31" t="s">
        <v>1965</v>
      </c>
      <c r="D31" t="s">
        <v>741</v>
      </c>
      <c r="E31" t="s">
        <v>901</v>
      </c>
      <c r="F31" t="s">
        <v>948</v>
      </c>
      <c r="G31" s="8" t="s">
        <v>1966</v>
      </c>
      <c r="H31" s="8" t="s">
        <v>170</v>
      </c>
      <c r="I31" s="8" t="s">
        <v>2709</v>
      </c>
      <c r="J31" t="s">
        <v>94</v>
      </c>
      <c r="K31" t="s">
        <v>1967</v>
      </c>
      <c r="L31" s="22">
        <v>42957.368842592594</v>
      </c>
      <c r="M31" s="109">
        <f xml:space="preserve"> M30+(ckAwdTable[ILN]&lt;"M")</f>
        <v>17</v>
      </c>
      <c r="N31" t="s">
        <v>1989</v>
      </c>
      <c r="O31" t="s">
        <v>1140</v>
      </c>
      <c r="P31" s="15" t="str">
        <f>HYPERLINK("https://www.ejacket.nsf.gov/ej/showProposal.do?ID="&amp;ckAwdTable[[#This Row],[prop_id]],"eJ")</f>
        <v>eJ</v>
      </c>
      <c r="Q31" s="8" t="s">
        <v>742</v>
      </c>
      <c r="R31" t="s">
        <v>2117</v>
      </c>
      <c r="S31" t="s">
        <v>2118</v>
      </c>
      <c r="T31" t="s">
        <v>2100</v>
      </c>
      <c r="U31" s="8" t="s">
        <v>2119</v>
      </c>
      <c r="V31" t="s">
        <v>343</v>
      </c>
      <c r="W31" s="113" t="str">
        <f>HYPERLINK("mailto:"&amp; ckAwdTable[[#This Row],[email]]&amp;"&amp;subject=Your NSF Proposal:  "&amp;ckAwdTable[[#This Row],[prop_id]], ckAwdTable[[#This Row],[email]])</f>
        <v>christlieb@math.msu.edu</v>
      </c>
      <c r="X31" s="30">
        <v>42979</v>
      </c>
      <c r="Y31">
        <v>36</v>
      </c>
      <c r="AA31" s="21" t="s">
        <v>13</v>
      </c>
      <c r="AB31" s="21" t="s">
        <v>424</v>
      </c>
      <c r="AC31"/>
      <c r="AD31" s="21" t="s">
        <v>13</v>
      </c>
      <c r="AF31" s="124">
        <v>436535</v>
      </c>
      <c r="AG31" s="21">
        <v>0</v>
      </c>
      <c r="AH31" s="1">
        <v>436535</v>
      </c>
      <c r="AI31" s="1"/>
      <c r="AJ31" s="1"/>
      <c r="AM31" s="21">
        <v>6</v>
      </c>
      <c r="AN31" s="21">
        <v>12</v>
      </c>
      <c r="AO31" s="21">
        <v>1.62</v>
      </c>
      <c r="AP31" s="21"/>
      <c r="AQ31" s="21">
        <v>0.39</v>
      </c>
      <c r="AR31" s="8" t="s">
        <v>1971</v>
      </c>
      <c r="AS31" s="21" t="s">
        <v>1989</v>
      </c>
      <c r="AT31" s="21" t="str">
        <f>IFERROR(IF(FIND("?",ckAwdTable[abst_narr_txt]),SummarizeQuestMarks(ckAwdTable[abst_narr_txt]),""),"")</f>
        <v/>
      </c>
      <c r="AU31" s="21"/>
      <c r="AV31" t="s">
        <v>2120</v>
      </c>
      <c r="AW31" t="b">
        <f>AND(ckAwdTable[[#This Row],[ILN]]&gt;"M", SUBSTITUTE(ckAwdTable[[#This Row],[prop_titl_txt]]," ","")&lt;&gt;SUBSTITUTE(AV30," ",""))</f>
        <v>0</v>
      </c>
      <c r="AX31" s="8" t="s">
        <v>2121</v>
      </c>
    </row>
    <row r="32" spans="1:50">
      <c r="A32" s="30">
        <v>42934.550185185188</v>
      </c>
      <c r="B32" s="30">
        <v>42809.54583333333</v>
      </c>
      <c r="C32" t="s">
        <v>1965</v>
      </c>
      <c r="D32" t="s">
        <v>741</v>
      </c>
      <c r="E32" t="s">
        <v>901</v>
      </c>
      <c r="F32" t="s">
        <v>543</v>
      </c>
      <c r="G32" s="8" t="s">
        <v>1974</v>
      </c>
      <c r="H32" s="8" t="s">
        <v>170</v>
      </c>
      <c r="I32" s="8" t="s">
        <v>897</v>
      </c>
      <c r="J32" t="s">
        <v>94</v>
      </c>
      <c r="K32" t="s">
        <v>1967</v>
      </c>
      <c r="L32" s="22">
        <v>42930.434641203705</v>
      </c>
      <c r="M32" s="109">
        <f xml:space="preserve"> M31+(ckAwdTable[ILN]&lt;"M")</f>
        <v>18</v>
      </c>
      <c r="N32" t="s">
        <v>96</v>
      </c>
      <c r="O32" t="s">
        <v>1148</v>
      </c>
      <c r="P32" s="15" t="str">
        <f>HYPERLINK("https://www.ejacket.nsf.gov/ej/showProposal.do?ID="&amp;ckAwdTable[[#This Row],[prop_id]],"eJ")</f>
        <v>eJ</v>
      </c>
      <c r="Q32" s="8" t="s">
        <v>742</v>
      </c>
      <c r="R32" t="s">
        <v>1148</v>
      </c>
      <c r="S32" t="s">
        <v>980</v>
      </c>
      <c r="T32" t="s">
        <v>2123</v>
      </c>
      <c r="U32" s="8" t="s">
        <v>2124</v>
      </c>
      <c r="V32" t="s">
        <v>2122</v>
      </c>
      <c r="W32" s="113" t="str">
        <f>HYPERLINK("mailto:"&amp; ckAwdTable[[#This Row],[email]]&amp;"&amp;subject=Your NSF Proposal:  "&amp;ckAwdTable[[#This Row],[prop_id]], ckAwdTable[[#This Row],[email]])</f>
        <v>tamaldey@cse.ohio-state.edu</v>
      </c>
      <c r="X32" s="30">
        <v>43009</v>
      </c>
      <c r="Y32">
        <v>36</v>
      </c>
      <c r="AA32" s="21" t="s">
        <v>13</v>
      </c>
      <c r="AB32" s="21" t="s">
        <v>424</v>
      </c>
      <c r="AC32"/>
      <c r="AD32" s="21" t="s">
        <v>13</v>
      </c>
      <c r="AE32" s="21" t="s">
        <v>2710</v>
      </c>
      <c r="AF32" s="124">
        <v>1500000</v>
      </c>
      <c r="AG32" s="21">
        <v>0</v>
      </c>
      <c r="AH32" s="1">
        <v>1500000</v>
      </c>
      <c r="AI32" s="1"/>
      <c r="AJ32" s="1">
        <v>5400</v>
      </c>
      <c r="AK32" s="1">
        <v>181083</v>
      </c>
      <c r="AL32" s="1">
        <v>86099</v>
      </c>
      <c r="AM32" s="21">
        <v>12</v>
      </c>
      <c r="AN32" s="21">
        <v>17</v>
      </c>
      <c r="AO32" s="21">
        <v>16.3</v>
      </c>
      <c r="AP32" s="21"/>
      <c r="AQ32" s="21"/>
      <c r="AR32" s="8" t="s">
        <v>1977</v>
      </c>
      <c r="AS32" s="21" t="s">
        <v>1989</v>
      </c>
      <c r="AT32" s="21" t="str">
        <f>IFERROR(IF(FIND("?",ckAwdTable[abst_narr_txt]),SummarizeQuestMarks(ckAwdTable[abst_narr_txt]),""),"")</f>
        <v/>
      </c>
      <c r="AU32" s="21" t="s">
        <v>1150</v>
      </c>
      <c r="AV32" t="s">
        <v>2125</v>
      </c>
      <c r="AW32" t="b">
        <f>AND(ckAwdTable[[#This Row],[ILN]]&gt;"M", SUBSTITUTE(ckAwdTable[[#This Row],[prop_titl_txt]]," ","")&lt;&gt;SUBSTITUTE(AV31," ",""))</f>
        <v>0</v>
      </c>
      <c r="AX32" s="8" t="s">
        <v>981</v>
      </c>
    </row>
    <row r="33" spans="1:50">
      <c r="A33" s="30">
        <v>42954.665173611109</v>
      </c>
      <c r="B33" s="30">
        <v>42809.573611111111</v>
      </c>
      <c r="C33" t="s">
        <v>1965</v>
      </c>
      <c r="D33" t="s">
        <v>741</v>
      </c>
      <c r="E33" t="s">
        <v>901</v>
      </c>
      <c r="F33" t="s">
        <v>543</v>
      </c>
      <c r="G33" s="8" t="s">
        <v>1966</v>
      </c>
      <c r="H33" s="8" t="s">
        <v>170</v>
      </c>
      <c r="I33" s="8" t="s">
        <v>2709</v>
      </c>
      <c r="J33" t="s">
        <v>94</v>
      </c>
      <c r="K33" t="s">
        <v>1967</v>
      </c>
      <c r="L33" s="22">
        <v>42951.496446759258</v>
      </c>
      <c r="M33" s="109">
        <f xml:space="preserve"> M32+(ckAwdTable[ILN]&lt;"M")</f>
        <v>19</v>
      </c>
      <c r="N33" t="s">
        <v>96</v>
      </c>
      <c r="O33" t="s">
        <v>1159</v>
      </c>
      <c r="P33" s="15" t="str">
        <f>HYPERLINK("https://www.ejacket.nsf.gov/ej/showProposal.do?ID="&amp;ckAwdTable[[#This Row],[prop_id]],"eJ")</f>
        <v>eJ</v>
      </c>
      <c r="Q33" s="8" t="s">
        <v>742</v>
      </c>
      <c r="R33" t="s">
        <v>1159</v>
      </c>
      <c r="S33" t="s">
        <v>1160</v>
      </c>
      <c r="T33" t="s">
        <v>2126</v>
      </c>
      <c r="U33" s="8" t="s">
        <v>2127</v>
      </c>
      <c r="V33" t="s">
        <v>2107</v>
      </c>
      <c r="W33" s="113" t="str">
        <f>HYPERLINK("mailto:"&amp; ckAwdTable[[#This Row],[email]]&amp;"&amp;subject=Your NSF Proposal:  "&amp;ckAwdTable[[#This Row],[prop_id]], ckAwdTable[[#This Row],[email]])</f>
        <v>larry@stat.cmu.edu</v>
      </c>
      <c r="X33" s="30">
        <v>43282</v>
      </c>
      <c r="Y33">
        <v>36</v>
      </c>
      <c r="AA33" s="21" t="s">
        <v>13</v>
      </c>
      <c r="AB33" s="21" t="s">
        <v>424</v>
      </c>
      <c r="AC33"/>
      <c r="AD33" s="21" t="s">
        <v>13</v>
      </c>
      <c r="AF33" s="124">
        <v>1500000</v>
      </c>
      <c r="AG33" s="21">
        <v>0</v>
      </c>
      <c r="AH33" s="1">
        <v>1500000</v>
      </c>
      <c r="AI33" s="1"/>
      <c r="AJ33" s="1"/>
      <c r="AL33" s="1">
        <v>66540</v>
      </c>
      <c r="AM33" s="21">
        <v>18</v>
      </c>
      <c r="AN33" s="21">
        <v>15</v>
      </c>
      <c r="AO33" s="21">
        <v>3</v>
      </c>
      <c r="AP33" s="21"/>
      <c r="AQ33" s="21">
        <v>6</v>
      </c>
      <c r="AR33" s="8" t="s">
        <v>1971</v>
      </c>
      <c r="AS33" s="21" t="s">
        <v>1989</v>
      </c>
      <c r="AT33" s="21" t="str">
        <f>IFERROR(IF(FIND("?",ckAwdTable[abst_narr_txt]),SummarizeQuestMarks(ckAwdTable[abst_narr_txt]),""),"")</f>
        <v/>
      </c>
      <c r="AU33" s="21"/>
      <c r="AV33" t="s">
        <v>2129</v>
      </c>
      <c r="AW33" t="b">
        <f>AND(ckAwdTable[[#This Row],[ILN]]&gt;"M", SUBSTITUTE(ckAwdTable[[#This Row],[prop_titl_txt]]," ","")&lt;&gt;SUBSTITUTE(AV32," ",""))</f>
        <v>0</v>
      </c>
      <c r="AX33" s="8" t="s">
        <v>2130</v>
      </c>
    </row>
    <row r="34" spans="1:50">
      <c r="A34" s="30">
        <v>42930.452893518515</v>
      </c>
      <c r="B34" s="30">
        <v>42809.593055555553</v>
      </c>
      <c r="C34" t="s">
        <v>1965</v>
      </c>
      <c r="D34" t="s">
        <v>741</v>
      </c>
      <c r="E34" t="s">
        <v>901</v>
      </c>
      <c r="F34" t="s">
        <v>942</v>
      </c>
      <c r="G34" s="8" t="s">
        <v>1974</v>
      </c>
      <c r="H34" s="8" t="s">
        <v>170</v>
      </c>
      <c r="I34" s="8" t="s">
        <v>897</v>
      </c>
      <c r="J34" t="s">
        <v>94</v>
      </c>
      <c r="K34" t="s">
        <v>1967</v>
      </c>
      <c r="L34" s="22">
        <v>42926.717858796299</v>
      </c>
      <c r="M34" s="109">
        <f xml:space="preserve"> M33+(ckAwdTable[ILN]&lt;"M")</f>
        <v>20</v>
      </c>
      <c r="N34" t="s">
        <v>96</v>
      </c>
      <c r="O34" t="s">
        <v>1165</v>
      </c>
      <c r="P34" s="15" t="str">
        <f>HYPERLINK("https://www.ejacket.nsf.gov/ej/showProposal.do?ID="&amp;ckAwdTable[[#This Row],[prop_id]],"eJ")</f>
        <v>eJ</v>
      </c>
      <c r="Q34" s="8" t="s">
        <v>742</v>
      </c>
      <c r="R34" t="s">
        <v>1165</v>
      </c>
      <c r="S34" t="s">
        <v>1166</v>
      </c>
      <c r="T34" t="s">
        <v>2132</v>
      </c>
      <c r="U34" s="8" t="s">
        <v>2133</v>
      </c>
      <c r="V34" t="s">
        <v>2131</v>
      </c>
      <c r="W34" s="113" t="str">
        <f>HYPERLINK("mailto:"&amp; ckAwdTable[[#This Row],[email]]&amp;"&amp;subject=Your NSF Proposal:  "&amp;ckAwdTable[[#This Row],[prop_id]], ckAwdTable[[#This Row],[email]])</f>
        <v>xiaoming@isye.gatech.edu</v>
      </c>
      <c r="X34" s="30">
        <v>42979</v>
      </c>
      <c r="Y34">
        <v>36</v>
      </c>
      <c r="AA34" s="21" t="s">
        <v>13</v>
      </c>
      <c r="AB34" s="21" t="s">
        <v>424</v>
      </c>
      <c r="AC34"/>
      <c r="AD34" s="21" t="s">
        <v>13</v>
      </c>
      <c r="AE34" s="21" t="s">
        <v>2711</v>
      </c>
      <c r="AF34" s="124">
        <v>1500000</v>
      </c>
      <c r="AG34" s="21">
        <v>0</v>
      </c>
      <c r="AH34" s="1">
        <v>1500000</v>
      </c>
      <c r="AI34" s="1"/>
      <c r="AJ34" s="1">
        <v>22500</v>
      </c>
      <c r="AK34" s="1">
        <v>185454</v>
      </c>
      <c r="AL34" s="1">
        <v>168750</v>
      </c>
      <c r="AM34" s="21">
        <v>6</v>
      </c>
      <c r="AN34" s="21">
        <v>24</v>
      </c>
      <c r="AO34" s="21"/>
      <c r="AP34" s="21"/>
      <c r="AQ34" s="21">
        <v>3.87</v>
      </c>
      <c r="AR34" s="8" t="s">
        <v>1977</v>
      </c>
      <c r="AS34" s="21" t="s">
        <v>1989</v>
      </c>
      <c r="AT34" s="21" t="str">
        <f>IFERROR(IF(FIND("?",ckAwdTable[abst_narr_txt]),SummarizeQuestMarks(ckAwdTable[abst_narr_txt]),""),"")</f>
        <v/>
      </c>
      <c r="AU34" s="21" t="s">
        <v>1169</v>
      </c>
      <c r="AV34" t="s">
        <v>2134</v>
      </c>
      <c r="AW34" t="b">
        <f>AND(ckAwdTable[[#This Row],[ILN]]&gt;"M", SUBSTITUTE(ckAwdTable[[#This Row],[prop_titl_txt]]," ","")&lt;&gt;SUBSTITUTE(AV33," ",""))</f>
        <v>0</v>
      </c>
      <c r="AX34" s="8" t="s">
        <v>2135</v>
      </c>
    </row>
    <row r="35" spans="1:50">
      <c r="A35" s="30">
        <v>42955.726944444446</v>
      </c>
      <c r="B35" s="30">
        <v>42809.597916666666</v>
      </c>
      <c r="C35" t="s">
        <v>1965</v>
      </c>
      <c r="D35" t="s">
        <v>741</v>
      </c>
      <c r="E35" t="s">
        <v>901</v>
      </c>
      <c r="F35" t="s">
        <v>540</v>
      </c>
      <c r="G35" s="8" t="s">
        <v>1966</v>
      </c>
      <c r="H35" s="8" t="s">
        <v>170</v>
      </c>
      <c r="I35" s="8" t="s">
        <v>2709</v>
      </c>
      <c r="J35" t="s">
        <v>94</v>
      </c>
      <c r="K35" t="s">
        <v>1967</v>
      </c>
      <c r="L35" s="22">
        <v>42914.640601851854</v>
      </c>
      <c r="M35" s="109">
        <f xml:space="preserve"> M34+(ckAwdTable[ILN]&lt;"M")</f>
        <v>21</v>
      </c>
      <c r="N35" t="s">
        <v>1981</v>
      </c>
      <c r="O35" t="s">
        <v>1175</v>
      </c>
      <c r="P35" s="15" t="str">
        <f>HYPERLINK("https://www.ejacket.nsf.gov/ej/showProposal.do?ID="&amp;ckAwdTable[[#This Row],[prop_id]],"eJ")</f>
        <v>eJ</v>
      </c>
      <c r="Q35" s="8" t="s">
        <v>742</v>
      </c>
      <c r="R35" t="s">
        <v>1175</v>
      </c>
      <c r="S35" t="s">
        <v>1176</v>
      </c>
      <c r="T35" t="s">
        <v>2136</v>
      </c>
      <c r="U35" s="8" t="s">
        <v>2137</v>
      </c>
      <c r="V35" t="s">
        <v>258</v>
      </c>
      <c r="W35" s="113" t="str">
        <f>HYPERLINK("mailto:"&amp; ckAwdTable[[#This Row],[email]]&amp;"&amp;subject=Your NSF Proposal:  "&amp;ckAwdTable[[#This Row],[prop_id]], ckAwdTable[[#This Row],[email]])</f>
        <v>carbonjo@buffalostate.edu</v>
      </c>
      <c r="X35" s="30">
        <v>42979</v>
      </c>
      <c r="Y35">
        <v>36</v>
      </c>
      <c r="AA35" s="21" t="s">
        <v>13</v>
      </c>
      <c r="AB35" s="21" t="s">
        <v>424</v>
      </c>
      <c r="AC35"/>
      <c r="AD35" s="21" t="s">
        <v>13</v>
      </c>
      <c r="AF35" s="124">
        <v>285964</v>
      </c>
      <c r="AG35" s="21">
        <v>0</v>
      </c>
      <c r="AH35" s="1">
        <v>285964</v>
      </c>
      <c r="AI35" s="1"/>
      <c r="AJ35" s="1"/>
      <c r="AL35" s="1">
        <v>10000</v>
      </c>
      <c r="AM35" s="21">
        <v>3</v>
      </c>
      <c r="AN35" s="21">
        <v>6</v>
      </c>
      <c r="AO35" s="21">
        <v>6</v>
      </c>
      <c r="AP35" s="21"/>
      <c r="AQ35" s="21"/>
      <c r="AR35" s="8" t="s">
        <v>1971</v>
      </c>
      <c r="AS35" s="21" t="s">
        <v>1989</v>
      </c>
      <c r="AT35" s="21" t="str">
        <f>IFERROR(IF(FIND("?",ckAwdTable[abst_narr_txt]),SummarizeQuestMarks(ckAwdTable[abst_narr_txt]),""),"")</f>
        <v/>
      </c>
      <c r="AU35" s="21"/>
      <c r="AV35" t="s">
        <v>2139</v>
      </c>
      <c r="AW35" t="b">
        <f>AND(ckAwdTable[[#This Row],[ILN]]&gt;"M", SUBSTITUTE(ckAwdTable[[#This Row],[prop_titl_txt]]," ","")&lt;&gt;SUBSTITUTE(AV34," ",""))</f>
        <v>0</v>
      </c>
      <c r="AX35" s="8" t="s">
        <v>2140</v>
      </c>
    </row>
    <row r="36" spans="1:50">
      <c r="A36" s="30">
        <v>42955.726944444446</v>
      </c>
      <c r="B36" s="30">
        <v>42809.414583333331</v>
      </c>
      <c r="C36" t="s">
        <v>1965</v>
      </c>
      <c r="D36" t="s">
        <v>741</v>
      </c>
      <c r="E36" t="s">
        <v>901</v>
      </c>
      <c r="F36" t="s">
        <v>540</v>
      </c>
      <c r="G36" s="8" t="s">
        <v>1966</v>
      </c>
      <c r="H36" s="8" t="s">
        <v>170</v>
      </c>
      <c r="I36" s="8" t="s">
        <v>2709</v>
      </c>
      <c r="J36" t="s">
        <v>94</v>
      </c>
      <c r="K36" t="s">
        <v>1967</v>
      </c>
      <c r="L36" s="22">
        <v>42914.640601851854</v>
      </c>
      <c r="M36" s="109">
        <f xml:space="preserve"> M35+(ckAwdTable[ILN]&lt;"M")</f>
        <v>21</v>
      </c>
      <c r="N36" t="s">
        <v>1989</v>
      </c>
      <c r="O36" t="s">
        <v>1175</v>
      </c>
      <c r="P36" s="15" t="str">
        <f>HYPERLINK("https://www.ejacket.nsf.gov/ej/showProposal.do?ID="&amp;ckAwdTable[[#This Row],[prop_id]],"eJ")</f>
        <v>eJ</v>
      </c>
      <c r="Q36" s="8" t="s">
        <v>742</v>
      </c>
      <c r="R36" t="s">
        <v>2141</v>
      </c>
      <c r="S36" t="s">
        <v>2142</v>
      </c>
      <c r="T36" t="s">
        <v>2143</v>
      </c>
      <c r="U36" s="8" t="s">
        <v>2144</v>
      </c>
      <c r="V36" t="s">
        <v>258</v>
      </c>
      <c r="W36" s="113" t="str">
        <f>HYPERLINK("mailto:"&amp; ckAwdTable[[#This Row],[email]]&amp;"&amp;subject=Your NSF Proposal:  "&amp;ckAwdTable[[#This Row],[prop_id]], ckAwdTable[[#This Row],[email]])</f>
        <v>jsperhac@buffalo.edu</v>
      </c>
      <c r="X36" s="30">
        <v>42979</v>
      </c>
      <c r="Y36">
        <v>36</v>
      </c>
      <c r="AA36" s="21" t="s">
        <v>13</v>
      </c>
      <c r="AB36" s="21" t="s">
        <v>424</v>
      </c>
      <c r="AC36"/>
      <c r="AD36" s="21" t="s">
        <v>13</v>
      </c>
      <c r="AF36" s="124">
        <v>209549</v>
      </c>
      <c r="AG36" s="21">
        <v>0</v>
      </c>
      <c r="AH36" s="1">
        <v>209549</v>
      </c>
      <c r="AI36" s="1"/>
      <c r="AJ36" s="1"/>
      <c r="AM36" s="21"/>
      <c r="AN36" s="21">
        <v>3</v>
      </c>
      <c r="AO36" s="21"/>
      <c r="AP36" s="21"/>
      <c r="AQ36" s="21">
        <v>11.44</v>
      </c>
      <c r="AR36" s="8" t="s">
        <v>1971</v>
      </c>
      <c r="AS36" s="21" t="s">
        <v>1989</v>
      </c>
      <c r="AT36" s="21" t="str">
        <f>IFERROR(IF(FIND("?",ckAwdTable[abst_narr_txt]),SummarizeQuestMarks(ckAwdTable[abst_narr_txt]),""),"")</f>
        <v/>
      </c>
      <c r="AU36" s="21"/>
      <c r="AV36" t="s">
        <v>2139</v>
      </c>
      <c r="AW36" t="b">
        <f>AND(ckAwdTable[[#This Row],[ILN]]&gt;"M", SUBSTITUTE(ckAwdTable[[#This Row],[prop_titl_txt]]," ","")&lt;&gt;SUBSTITUTE(AV35," ",""))</f>
        <v>0</v>
      </c>
      <c r="AX36" s="8" t="s">
        <v>2145</v>
      </c>
    </row>
    <row r="37" spans="1:50">
      <c r="A37" s="30">
        <v>42955.726944444446</v>
      </c>
      <c r="B37" s="30">
        <v>42809.475694444445</v>
      </c>
      <c r="C37" t="s">
        <v>1965</v>
      </c>
      <c r="D37" t="s">
        <v>741</v>
      </c>
      <c r="E37" t="s">
        <v>901</v>
      </c>
      <c r="F37" t="s">
        <v>540</v>
      </c>
      <c r="G37" s="8" t="s">
        <v>1966</v>
      </c>
      <c r="H37" s="8" t="s">
        <v>170</v>
      </c>
      <c r="I37" s="8" t="s">
        <v>2709</v>
      </c>
      <c r="J37" t="s">
        <v>94</v>
      </c>
      <c r="K37" t="s">
        <v>1967</v>
      </c>
      <c r="L37" s="22">
        <v>42914.640601851854</v>
      </c>
      <c r="M37" s="109">
        <f xml:space="preserve"> M36+(ckAwdTable[ILN]&lt;"M")</f>
        <v>21</v>
      </c>
      <c r="N37" t="s">
        <v>1989</v>
      </c>
      <c r="O37" t="s">
        <v>1175</v>
      </c>
      <c r="P37" s="15" t="str">
        <f>HYPERLINK("https://www.ejacket.nsf.gov/ej/showProposal.do?ID="&amp;ckAwdTable[[#This Row],[prop_id]],"eJ")</f>
        <v>eJ</v>
      </c>
      <c r="Q37" s="8" t="s">
        <v>742</v>
      </c>
      <c r="R37" t="s">
        <v>2146</v>
      </c>
      <c r="S37" t="s">
        <v>2147</v>
      </c>
      <c r="T37" t="s">
        <v>2148</v>
      </c>
      <c r="U37" s="8" t="s">
        <v>2149</v>
      </c>
      <c r="V37" t="s">
        <v>258</v>
      </c>
      <c r="W37" s="113" t="str">
        <f>HYPERLINK("mailto:"&amp; ckAwdTable[[#This Row],[email]]&amp;"&amp;subject=Your NSF Proposal:  "&amp;ckAwdTable[[#This Row],[prop_id]], ckAwdTable[[#This Row],[email]])</f>
        <v>ibichind@oswego.edu</v>
      </c>
      <c r="X37" s="30">
        <v>42979</v>
      </c>
      <c r="Y37">
        <v>36</v>
      </c>
      <c r="AA37" s="21" t="s">
        <v>13</v>
      </c>
      <c r="AB37" s="21" t="s">
        <v>424</v>
      </c>
      <c r="AC37"/>
      <c r="AD37" s="21" t="s">
        <v>13</v>
      </c>
      <c r="AE37" s="21" t="s">
        <v>2718</v>
      </c>
      <c r="AF37" s="124">
        <v>361729</v>
      </c>
      <c r="AG37" s="21">
        <v>0</v>
      </c>
      <c r="AH37" s="1">
        <v>361729</v>
      </c>
      <c r="AI37" s="1"/>
      <c r="AJ37" s="1">
        <v>18000</v>
      </c>
      <c r="AM37" s="21">
        <v>12</v>
      </c>
      <c r="AN37" s="21">
        <v>9</v>
      </c>
      <c r="AO37" s="21">
        <v>5.13</v>
      </c>
      <c r="AP37" s="21"/>
      <c r="AQ37" s="21"/>
      <c r="AR37" s="8" t="s">
        <v>1971</v>
      </c>
      <c r="AS37" s="21" t="s">
        <v>1989</v>
      </c>
      <c r="AT37" s="21" t="str">
        <f>IFERROR(IF(FIND("?",ckAwdTable[abst_narr_txt]),SummarizeQuestMarks(ckAwdTable[abst_narr_txt]),""),"")</f>
        <v/>
      </c>
      <c r="AU37" s="21"/>
      <c r="AV37" t="s">
        <v>2139</v>
      </c>
      <c r="AW37" t="b">
        <f>AND(ckAwdTable[[#This Row],[ILN]]&gt;"M", SUBSTITUTE(ckAwdTable[[#This Row],[prop_titl_txt]]," ","")&lt;&gt;SUBSTITUTE(AV36," ",""))</f>
        <v>0</v>
      </c>
      <c r="AX37" s="8" t="s">
        <v>2150</v>
      </c>
    </row>
    <row r="38" spans="1:50">
      <c r="A38" s="30">
        <v>42955.726944444446</v>
      </c>
      <c r="B38" s="30">
        <v>42809.482638888891</v>
      </c>
      <c r="C38" t="s">
        <v>1965</v>
      </c>
      <c r="D38" t="s">
        <v>741</v>
      </c>
      <c r="E38" t="s">
        <v>901</v>
      </c>
      <c r="F38" t="s">
        <v>540</v>
      </c>
      <c r="G38" s="8" t="s">
        <v>1966</v>
      </c>
      <c r="H38" s="8" t="s">
        <v>170</v>
      </c>
      <c r="I38" s="8" t="s">
        <v>2709</v>
      </c>
      <c r="J38" t="s">
        <v>94</v>
      </c>
      <c r="K38" t="s">
        <v>1967</v>
      </c>
      <c r="L38" s="22">
        <v>42914.640601851854</v>
      </c>
      <c r="M38" s="109">
        <f xml:space="preserve"> M37+(ckAwdTable[ILN]&lt;"M")</f>
        <v>21</v>
      </c>
      <c r="N38" t="s">
        <v>1989</v>
      </c>
      <c r="O38" t="s">
        <v>1175</v>
      </c>
      <c r="P38" s="15" t="str">
        <f>HYPERLINK("https://www.ejacket.nsf.gov/ej/showProposal.do?ID="&amp;ckAwdTable[[#This Row],[prop_id]],"eJ")</f>
        <v>eJ</v>
      </c>
      <c r="Q38" s="8" t="s">
        <v>742</v>
      </c>
      <c r="R38" t="s">
        <v>2151</v>
      </c>
      <c r="S38" t="s">
        <v>2152</v>
      </c>
      <c r="T38" t="s">
        <v>2153</v>
      </c>
      <c r="U38" s="8" t="s">
        <v>2154</v>
      </c>
      <c r="V38" t="s">
        <v>258</v>
      </c>
      <c r="W38" s="113" t="str">
        <f>HYPERLINK("mailto:"&amp; ckAwdTable[[#This Row],[email]]&amp;"&amp;subject=Your NSF Proposal:  "&amp;ckAwdTable[[#This Row],[prop_id]], ckAwdTable[[#This Row],[email]])</f>
        <v>lisa.walters@fredonia.edu</v>
      </c>
      <c r="X38" s="30">
        <v>42979</v>
      </c>
      <c r="Y38">
        <v>36</v>
      </c>
      <c r="AA38" s="21" t="s">
        <v>13</v>
      </c>
      <c r="AB38" s="21" t="s">
        <v>424</v>
      </c>
      <c r="AC38"/>
      <c r="AD38" s="21" t="s">
        <v>13</v>
      </c>
      <c r="AE38" s="21" t="s">
        <v>2710</v>
      </c>
      <c r="AF38" s="124">
        <v>248472</v>
      </c>
      <c r="AG38" s="21">
        <v>0</v>
      </c>
      <c r="AH38" s="1">
        <v>248472</v>
      </c>
      <c r="AI38" s="1"/>
      <c r="AJ38" s="1">
        <v>10500</v>
      </c>
      <c r="AL38" s="1">
        <v>20000</v>
      </c>
      <c r="AM38" s="21"/>
      <c r="AN38" s="21">
        <v>6</v>
      </c>
      <c r="AO38" s="21">
        <v>6</v>
      </c>
      <c r="AP38" s="21"/>
      <c r="AQ38" s="21"/>
      <c r="AR38" s="8" t="s">
        <v>1971</v>
      </c>
      <c r="AS38" s="21" t="s">
        <v>1989</v>
      </c>
      <c r="AT38" s="21" t="str">
        <f>IFERROR(IF(FIND("?",ckAwdTable[abst_narr_txt]),SummarizeQuestMarks(ckAwdTable[abst_narr_txt]),""),"")</f>
        <v/>
      </c>
      <c r="AU38" s="21"/>
      <c r="AV38" t="s">
        <v>2155</v>
      </c>
      <c r="AW38" t="b">
        <f>AND(ckAwdTable[[#This Row],[ILN]]&gt;"M", SUBSTITUTE(ckAwdTable[[#This Row],[prop_titl_txt]]," ","")&lt;&gt;SUBSTITUTE(AV37," ",""))</f>
        <v>1</v>
      </c>
      <c r="AX38" s="8" t="s">
        <v>2156</v>
      </c>
    </row>
    <row r="39" spans="1:50">
      <c r="A39" s="30">
        <v>42955.726944444446</v>
      </c>
      <c r="B39" s="30">
        <v>42809.584722222222</v>
      </c>
      <c r="C39" t="s">
        <v>1965</v>
      </c>
      <c r="D39" t="s">
        <v>741</v>
      </c>
      <c r="E39" t="s">
        <v>901</v>
      </c>
      <c r="F39" t="s">
        <v>540</v>
      </c>
      <c r="G39" s="8" t="s">
        <v>1966</v>
      </c>
      <c r="H39" s="8" t="s">
        <v>170</v>
      </c>
      <c r="I39" s="8" t="s">
        <v>2709</v>
      </c>
      <c r="J39" t="s">
        <v>94</v>
      </c>
      <c r="K39" t="s">
        <v>1967</v>
      </c>
      <c r="L39" s="22">
        <v>42914.640601851854</v>
      </c>
      <c r="M39" s="109">
        <f xml:space="preserve"> M38+(ckAwdTable[ILN]&lt;"M")</f>
        <v>21</v>
      </c>
      <c r="N39" t="s">
        <v>1989</v>
      </c>
      <c r="O39" t="s">
        <v>1175</v>
      </c>
      <c r="P39" s="15" t="str">
        <f>HYPERLINK("https://www.ejacket.nsf.gov/ej/showProposal.do?ID="&amp;ckAwdTable[[#This Row],[prop_id]],"eJ")</f>
        <v>eJ</v>
      </c>
      <c r="Q39" s="8" t="s">
        <v>742</v>
      </c>
      <c r="R39" t="s">
        <v>2157</v>
      </c>
      <c r="S39" t="s">
        <v>2158</v>
      </c>
      <c r="T39" t="s">
        <v>2159</v>
      </c>
      <c r="U39" s="8" t="s">
        <v>2160</v>
      </c>
      <c r="V39" t="s">
        <v>258</v>
      </c>
      <c r="W39" s="113" t="str">
        <f>HYPERLINK("mailto:"&amp; ckAwdTable[[#This Row],[email]]&amp;"&amp;subject=Your NSF Proposal:  "&amp;ckAwdTable[[#This Row],[prop_id]], ckAwdTable[[#This Row],[email]])</f>
        <v>sdang@binghamton.edu</v>
      </c>
      <c r="X39" s="30">
        <v>42979</v>
      </c>
      <c r="Y39">
        <v>36</v>
      </c>
      <c r="AA39" s="21" t="s">
        <v>13</v>
      </c>
      <c r="AB39" s="21" t="s">
        <v>424</v>
      </c>
      <c r="AC39"/>
      <c r="AD39" s="21" t="s">
        <v>13</v>
      </c>
      <c r="AF39" s="124">
        <v>393365</v>
      </c>
      <c r="AG39" s="21">
        <v>0</v>
      </c>
      <c r="AH39" s="1">
        <v>393365</v>
      </c>
      <c r="AI39" s="1"/>
      <c r="AJ39" s="1"/>
      <c r="AM39" s="21">
        <v>13</v>
      </c>
      <c r="AN39" s="21">
        <v>9</v>
      </c>
      <c r="AO39" s="21">
        <v>9</v>
      </c>
      <c r="AP39" s="21"/>
      <c r="AQ39" s="21"/>
      <c r="AR39" s="8" t="s">
        <v>1971</v>
      </c>
      <c r="AS39" s="21" t="s">
        <v>1989</v>
      </c>
      <c r="AT39" s="21" t="str">
        <f>IFERROR(IF(FIND("?",ckAwdTable[abst_narr_txt]),SummarizeQuestMarks(ckAwdTable[abst_narr_txt]),""),"")</f>
        <v/>
      </c>
      <c r="AU39" s="21"/>
      <c r="AV39" t="s">
        <v>2139</v>
      </c>
      <c r="AW39" t="b">
        <f>AND(ckAwdTable[[#This Row],[ILN]]&gt;"M", SUBSTITUTE(ckAwdTable[[#This Row],[prop_titl_txt]]," ","")&lt;&gt;SUBSTITUTE(AV38," ",""))</f>
        <v>1</v>
      </c>
      <c r="AX39" s="8" t="s">
        <v>2161</v>
      </c>
    </row>
    <row r="40" spans="1:50">
      <c r="A40" s="30">
        <v>42955.696875000001</v>
      </c>
      <c r="B40" s="30">
        <v>42809.598611111112</v>
      </c>
      <c r="C40" t="s">
        <v>1965</v>
      </c>
      <c r="D40" t="s">
        <v>741</v>
      </c>
      <c r="E40" t="s">
        <v>901</v>
      </c>
      <c r="F40" t="s">
        <v>540</v>
      </c>
      <c r="G40" s="8" t="s">
        <v>1966</v>
      </c>
      <c r="H40" s="8" t="s">
        <v>170</v>
      </c>
      <c r="I40" s="8" t="s">
        <v>2709</v>
      </c>
      <c r="J40" t="s">
        <v>94</v>
      </c>
      <c r="K40" t="s">
        <v>1967</v>
      </c>
      <c r="L40" s="22">
        <v>42914.638993055552</v>
      </c>
      <c r="M40" s="109">
        <f xml:space="preserve"> M39+(ckAwdTable[ILN]&lt;"M")</f>
        <v>22</v>
      </c>
      <c r="N40" t="s">
        <v>96</v>
      </c>
      <c r="O40" t="s">
        <v>1182</v>
      </c>
      <c r="P40" s="15" t="str">
        <f>HYPERLINK("https://www.ejacket.nsf.gov/ej/showProposal.do?ID="&amp;ckAwdTable[[#This Row],[prop_id]],"eJ")</f>
        <v>eJ</v>
      </c>
      <c r="Q40" s="8" t="s">
        <v>742</v>
      </c>
      <c r="R40" t="s">
        <v>1182</v>
      </c>
      <c r="S40" t="s">
        <v>1183</v>
      </c>
      <c r="T40" t="s">
        <v>2162</v>
      </c>
      <c r="U40" s="8" t="s">
        <v>2163</v>
      </c>
      <c r="V40" t="s">
        <v>347</v>
      </c>
      <c r="W40" s="113" t="str">
        <f>HYPERLINK("mailto:"&amp; ckAwdTable[[#This Row],[email]]&amp;"&amp;subject=Your NSF Proposal:  "&amp;ckAwdTable[[#This Row],[prop_id]], ckAwdTable[[#This Row],[email]])</f>
        <v>gmichail@ufl.edu</v>
      </c>
      <c r="X40" s="30">
        <v>42948</v>
      </c>
      <c r="Y40">
        <v>36</v>
      </c>
      <c r="AA40" s="21" t="s">
        <v>13</v>
      </c>
      <c r="AB40" s="21" t="s">
        <v>424</v>
      </c>
      <c r="AC40"/>
      <c r="AD40" s="21" t="s">
        <v>13</v>
      </c>
      <c r="AF40" s="124">
        <v>1500000</v>
      </c>
      <c r="AG40" s="21">
        <v>0</v>
      </c>
      <c r="AH40" s="1">
        <v>1500000</v>
      </c>
      <c r="AI40" s="1"/>
      <c r="AJ40" s="1"/>
      <c r="AK40" s="1">
        <v>339974</v>
      </c>
      <c r="AL40" s="1">
        <v>116000</v>
      </c>
      <c r="AM40" s="21">
        <v>6</v>
      </c>
      <c r="AN40" s="21">
        <v>12</v>
      </c>
      <c r="AO40" s="21">
        <v>11.4</v>
      </c>
      <c r="AP40" s="21"/>
      <c r="AQ40" s="21"/>
      <c r="AR40" s="8" t="s">
        <v>1971</v>
      </c>
      <c r="AS40" s="21" t="s">
        <v>1989</v>
      </c>
      <c r="AT40" s="21" t="str">
        <f>IFERROR(IF(FIND("?",ckAwdTable[abst_narr_txt]),SummarizeQuestMarks(ckAwdTable[abst_narr_txt]),""),"")</f>
        <v/>
      </c>
      <c r="AU40" s="21"/>
      <c r="AV40" t="s">
        <v>2165</v>
      </c>
      <c r="AW40" t="b">
        <f>AND(ckAwdTable[[#This Row],[ILN]]&gt;"M", SUBSTITUTE(ckAwdTable[[#This Row],[prop_titl_txt]]," ","")&lt;&gt;SUBSTITUTE(AV39," ",""))</f>
        <v>0</v>
      </c>
      <c r="AX40" s="8" t="s">
        <v>2166</v>
      </c>
    </row>
    <row r="41" spans="1:50">
      <c r="A41" s="30">
        <v>42955.698831018519</v>
      </c>
      <c r="B41" s="30">
        <v>42809.629166666666</v>
      </c>
      <c r="C41" t="s">
        <v>1965</v>
      </c>
      <c r="D41" t="s">
        <v>741</v>
      </c>
      <c r="E41" t="s">
        <v>901</v>
      </c>
      <c r="F41" t="s">
        <v>948</v>
      </c>
      <c r="G41" s="8" t="s">
        <v>1966</v>
      </c>
      <c r="H41" s="8" t="s">
        <v>170</v>
      </c>
      <c r="I41" s="8" t="s">
        <v>2709</v>
      </c>
      <c r="J41" t="s">
        <v>94</v>
      </c>
      <c r="K41" t="s">
        <v>1967</v>
      </c>
      <c r="L41" s="22">
        <v>42955.458935185183</v>
      </c>
      <c r="M41" s="109">
        <f xml:space="preserve"> M40+(ckAwdTable[ILN]&lt;"M")</f>
        <v>23</v>
      </c>
      <c r="N41" t="s">
        <v>96</v>
      </c>
      <c r="O41" t="s">
        <v>1190</v>
      </c>
      <c r="P41" s="15" t="str">
        <f>HYPERLINK("https://www.ejacket.nsf.gov/ej/showProposal.do?ID="&amp;ckAwdTable[[#This Row],[prop_id]],"eJ")</f>
        <v>eJ</v>
      </c>
      <c r="Q41" s="8" t="s">
        <v>742</v>
      </c>
      <c r="R41" t="s">
        <v>1190</v>
      </c>
      <c r="S41" t="s">
        <v>1191</v>
      </c>
      <c r="T41" t="s">
        <v>2167</v>
      </c>
      <c r="U41" s="8" t="s">
        <v>2168</v>
      </c>
      <c r="V41" t="s">
        <v>344</v>
      </c>
      <c r="W41" s="113" t="str">
        <f>HYPERLINK("mailto:"&amp; ckAwdTable[[#This Row],[email]]&amp;"&amp;subject=Your NSF Proposal:  "&amp;ckAwdTable[[#This Row],[prop_id]], ckAwdTable[[#This Row],[email]])</f>
        <v>mitran@unc.edu</v>
      </c>
      <c r="X41" s="30">
        <v>43101</v>
      </c>
      <c r="Y41">
        <v>36</v>
      </c>
      <c r="AA41" s="21" t="s">
        <v>13</v>
      </c>
      <c r="AB41" s="21" t="s">
        <v>424</v>
      </c>
      <c r="AC41"/>
      <c r="AD41" s="21" t="s">
        <v>13</v>
      </c>
      <c r="AE41" s="21" t="s">
        <v>2711</v>
      </c>
      <c r="AF41" s="124">
        <v>1495036</v>
      </c>
      <c r="AG41" s="21">
        <v>0</v>
      </c>
      <c r="AH41" s="1">
        <v>1495036</v>
      </c>
      <c r="AI41" s="1"/>
      <c r="AJ41" s="1">
        <v>10800</v>
      </c>
      <c r="AL41" s="1">
        <v>51000</v>
      </c>
      <c r="AM41" s="21">
        <v>18</v>
      </c>
      <c r="AN41" s="21">
        <v>12</v>
      </c>
      <c r="AO41" s="21">
        <v>7.5</v>
      </c>
      <c r="AP41" s="21"/>
      <c r="AQ41" s="21">
        <v>1.5</v>
      </c>
      <c r="AR41" s="8" t="s">
        <v>1971</v>
      </c>
      <c r="AS41" s="21" t="s">
        <v>1989</v>
      </c>
      <c r="AT41" s="21" t="str">
        <f>IFERROR(IF(FIND("?",ckAwdTable[abst_narr_txt]),SummarizeQuestMarks(ckAwdTable[abst_narr_txt]),""),"")</f>
        <v/>
      </c>
      <c r="AU41" s="21"/>
      <c r="AV41" t="s">
        <v>2169</v>
      </c>
      <c r="AW41" t="b">
        <f>AND(ckAwdTable[[#This Row],[ILN]]&gt;"M", SUBSTITUTE(ckAwdTable[[#This Row],[prop_titl_txt]]," ","")&lt;&gt;SUBSTITUTE(AV40," ",""))</f>
        <v>0</v>
      </c>
      <c r="AX41" s="8" t="s">
        <v>2170</v>
      </c>
    </row>
    <row r="42" spans="1:50">
      <c r="A42" s="30">
        <v>42936.692673611113</v>
      </c>
      <c r="B42" s="30">
        <v>42809.64166666667</v>
      </c>
      <c r="C42" t="s">
        <v>1965</v>
      </c>
      <c r="D42" t="s">
        <v>741</v>
      </c>
      <c r="E42" t="s">
        <v>901</v>
      </c>
      <c r="F42" t="s">
        <v>540</v>
      </c>
      <c r="G42" s="8" t="s">
        <v>1974</v>
      </c>
      <c r="H42" s="8" t="s">
        <v>170</v>
      </c>
      <c r="I42" s="8" t="s">
        <v>897</v>
      </c>
      <c r="J42" t="s">
        <v>94</v>
      </c>
      <c r="K42" t="s">
        <v>1967</v>
      </c>
      <c r="L42" s="22">
        <v>42934.612986111111</v>
      </c>
      <c r="M42" s="109">
        <f xml:space="preserve"> M41+(ckAwdTable[ILN]&lt;"M")</f>
        <v>24</v>
      </c>
      <c r="N42" t="s">
        <v>1981</v>
      </c>
      <c r="O42" t="s">
        <v>1197</v>
      </c>
      <c r="P42" s="15" t="str">
        <f>HYPERLINK("https://www.ejacket.nsf.gov/ej/showProposal.do?ID="&amp;ckAwdTable[[#This Row],[prop_id]],"eJ")</f>
        <v>eJ</v>
      </c>
      <c r="Q42" s="8" t="s">
        <v>742</v>
      </c>
      <c r="R42" t="s">
        <v>1197</v>
      </c>
      <c r="S42" t="s">
        <v>1198</v>
      </c>
      <c r="T42" t="s">
        <v>2171</v>
      </c>
      <c r="U42" s="8" t="s">
        <v>2109</v>
      </c>
      <c r="V42" t="s">
        <v>2107</v>
      </c>
      <c r="W42" s="113" t="str">
        <f>HYPERLINK("mailto:"&amp; ckAwdTable[[#This Row],[email]]&amp;"&amp;subject=Your NSF Proposal:  "&amp;ckAwdTable[[#This Row],[prop_id]], ckAwdTable[[#This Row],[email]])</f>
        <v>kas410@lehigh.edu</v>
      </c>
      <c r="X42" s="30">
        <v>43101</v>
      </c>
      <c r="Y42">
        <v>36</v>
      </c>
      <c r="AA42" s="21" t="s">
        <v>13</v>
      </c>
      <c r="AB42" s="21" t="s">
        <v>424</v>
      </c>
      <c r="AC42"/>
      <c r="AD42" s="21" t="s">
        <v>13</v>
      </c>
      <c r="AF42" s="124">
        <v>895670</v>
      </c>
      <c r="AG42" s="21">
        <v>1</v>
      </c>
      <c r="AH42" s="1">
        <v>895670</v>
      </c>
      <c r="AI42" s="1"/>
      <c r="AJ42" s="1"/>
      <c r="AK42" s="1">
        <v>139091</v>
      </c>
      <c r="AM42" s="21">
        <v>6</v>
      </c>
      <c r="AN42" s="21">
        <v>9</v>
      </c>
      <c r="AO42" s="21">
        <v>6.25</v>
      </c>
      <c r="AP42" s="21"/>
      <c r="AQ42" s="21"/>
      <c r="AR42" s="8" t="s">
        <v>1977</v>
      </c>
      <c r="AS42" s="21" t="s">
        <v>1989</v>
      </c>
      <c r="AT42" s="21" t="str">
        <f>IFERROR(IF(FIND("?",ckAwdTable[abst_narr_txt]),SummarizeQuestMarks(ckAwdTable[abst_narr_txt]),""),"")</f>
        <v/>
      </c>
      <c r="AU42" s="21" t="s">
        <v>1200</v>
      </c>
      <c r="AV42" t="s">
        <v>2173</v>
      </c>
      <c r="AW42" t="b">
        <f>AND(ckAwdTable[[#This Row],[ILN]]&gt;"M", SUBSTITUTE(ckAwdTable[[#This Row],[prop_titl_txt]]," ","")&lt;&gt;SUBSTITUTE(AV41," ",""))</f>
        <v>0</v>
      </c>
      <c r="AX42" s="8" t="s">
        <v>2174</v>
      </c>
    </row>
    <row r="43" spans="1:50">
      <c r="A43" s="30">
        <v>42936.693009259259</v>
      </c>
      <c r="B43" s="30">
        <v>42809.44027777778</v>
      </c>
      <c r="C43" t="s">
        <v>1965</v>
      </c>
      <c r="D43" t="s">
        <v>741</v>
      </c>
      <c r="E43" t="s">
        <v>901</v>
      </c>
      <c r="F43" t="s">
        <v>540</v>
      </c>
      <c r="G43" s="8" t="s">
        <v>1974</v>
      </c>
      <c r="H43" s="8" t="s">
        <v>170</v>
      </c>
      <c r="I43" s="8" t="s">
        <v>897</v>
      </c>
      <c r="J43" t="s">
        <v>94</v>
      </c>
      <c r="K43" t="s">
        <v>1967</v>
      </c>
      <c r="L43" s="22">
        <v>42934.612986111111</v>
      </c>
      <c r="M43" s="109">
        <f xml:space="preserve"> M42+(ckAwdTable[ILN]&lt;"M")</f>
        <v>24</v>
      </c>
      <c r="N43" t="s">
        <v>1989</v>
      </c>
      <c r="O43" t="s">
        <v>1197</v>
      </c>
      <c r="P43" s="15" t="str">
        <f>HYPERLINK("https://www.ejacket.nsf.gov/ej/showProposal.do?ID="&amp;ckAwdTable[[#This Row],[prop_id]],"eJ")</f>
        <v>eJ</v>
      </c>
      <c r="Q43" s="8" t="s">
        <v>742</v>
      </c>
      <c r="R43" t="s">
        <v>2175</v>
      </c>
      <c r="S43" t="s">
        <v>2176</v>
      </c>
      <c r="T43" t="s">
        <v>2177</v>
      </c>
      <c r="U43" s="8" t="s">
        <v>2178</v>
      </c>
      <c r="V43" t="s">
        <v>340</v>
      </c>
      <c r="W43" s="113" t="str">
        <f>HYPERLINK("mailto:"&amp; ckAwdTable[[#This Row],[email]]&amp;"&amp;subject=Your NSF Proposal:  "&amp;ckAwdTable[[#This Row],[prop_id]], ckAwdTable[[#This Row],[email]])</f>
        <v>hanliu@princeton.edu</v>
      </c>
      <c r="X43" s="30">
        <v>43101</v>
      </c>
      <c r="Y43">
        <v>36</v>
      </c>
      <c r="AA43" s="21" t="s">
        <v>13</v>
      </c>
      <c r="AB43" s="21" t="s">
        <v>424</v>
      </c>
      <c r="AC43"/>
      <c r="AD43" s="21" t="s">
        <v>13</v>
      </c>
      <c r="AF43" s="124">
        <v>300000</v>
      </c>
      <c r="AG43" s="21">
        <v>0</v>
      </c>
      <c r="AH43" s="1">
        <v>300000</v>
      </c>
      <c r="AI43" s="1"/>
      <c r="AJ43" s="1"/>
      <c r="AM43" s="21">
        <v>3</v>
      </c>
      <c r="AN43" s="21">
        <v>3</v>
      </c>
      <c r="AO43" s="21">
        <v>3</v>
      </c>
      <c r="AP43" s="21"/>
      <c r="AQ43" s="21"/>
      <c r="AR43" s="8" t="s">
        <v>1977</v>
      </c>
      <c r="AS43" s="21" t="s">
        <v>1989</v>
      </c>
      <c r="AT43" s="21" t="str">
        <f>IFERROR(IF(FIND("?",ckAwdTable[abst_narr_txt]),SummarizeQuestMarks(ckAwdTable[abst_narr_txt]),""),"")</f>
        <v/>
      </c>
      <c r="AU43" s="21" t="s">
        <v>1200</v>
      </c>
      <c r="AV43" t="s">
        <v>2179</v>
      </c>
      <c r="AW43" t="b">
        <f>AND(ckAwdTable[[#This Row],[ILN]]&gt;"M", SUBSTITUTE(ckAwdTable[[#This Row],[prop_titl_txt]]," ","")&lt;&gt;SUBSTITUTE(AV42," ",""))</f>
        <v>0</v>
      </c>
      <c r="AX43" s="8" t="s">
        <v>2180</v>
      </c>
    </row>
    <row r="44" spans="1:50">
      <c r="A44" s="30">
        <v>42936.700601851851</v>
      </c>
      <c r="B44" s="30">
        <v>42809.555555555555</v>
      </c>
      <c r="C44" t="s">
        <v>1965</v>
      </c>
      <c r="D44" t="s">
        <v>741</v>
      </c>
      <c r="E44" t="s">
        <v>901</v>
      </c>
      <c r="F44" t="s">
        <v>540</v>
      </c>
      <c r="G44" s="8" t="s">
        <v>1974</v>
      </c>
      <c r="H44" s="8" t="s">
        <v>170</v>
      </c>
      <c r="I44" s="8" t="s">
        <v>897</v>
      </c>
      <c r="J44" t="s">
        <v>94</v>
      </c>
      <c r="K44" t="s">
        <v>1967</v>
      </c>
      <c r="L44" s="22">
        <v>42934.612986111111</v>
      </c>
      <c r="M44" s="109">
        <f xml:space="preserve"> M43+(ckAwdTable[ILN]&lt;"M")</f>
        <v>24</v>
      </c>
      <c r="N44" t="s">
        <v>1989</v>
      </c>
      <c r="O44" t="s">
        <v>1197</v>
      </c>
      <c r="P44" s="15" t="str">
        <f>HYPERLINK("https://www.ejacket.nsf.gov/ej/showProposal.do?ID="&amp;ckAwdTable[[#This Row],[prop_id]],"eJ")</f>
        <v>eJ</v>
      </c>
      <c r="Q44" s="8" t="s">
        <v>742</v>
      </c>
      <c r="R44" t="s">
        <v>2181</v>
      </c>
      <c r="S44" t="s">
        <v>618</v>
      </c>
      <c r="T44" t="s">
        <v>769</v>
      </c>
      <c r="U44" s="8" t="s">
        <v>770</v>
      </c>
      <c r="V44" t="s">
        <v>258</v>
      </c>
      <c r="W44" s="113" t="str">
        <f>HYPERLINK("mailto:"&amp; ckAwdTable[[#This Row],[email]]&amp;"&amp;subject=Your NSF Proposal:  "&amp;ckAwdTable[[#This Row],[prop_id]], ckAwdTable[[#This Row],[email]])</f>
        <v>francesco@cs.stonybrook.edu</v>
      </c>
      <c r="X44" s="30">
        <v>43101</v>
      </c>
      <c r="Y44">
        <v>36</v>
      </c>
      <c r="AA44" s="21" t="s">
        <v>13</v>
      </c>
      <c r="AB44" s="21" t="s">
        <v>424</v>
      </c>
      <c r="AC44"/>
      <c r="AD44" s="21" t="s">
        <v>13</v>
      </c>
      <c r="AE44" s="21" t="s">
        <v>2710</v>
      </c>
      <c r="AF44" s="124">
        <v>288482</v>
      </c>
      <c r="AG44" s="21">
        <v>0</v>
      </c>
      <c r="AH44" s="1">
        <v>288482</v>
      </c>
      <c r="AI44" s="1"/>
      <c r="AJ44" s="1">
        <v>7500</v>
      </c>
      <c r="AM44" s="21">
        <v>3</v>
      </c>
      <c r="AN44" s="21">
        <v>3</v>
      </c>
      <c r="AO44" s="21">
        <v>3</v>
      </c>
      <c r="AP44" s="21"/>
      <c r="AQ44" s="21"/>
      <c r="AR44" s="8" t="s">
        <v>1977</v>
      </c>
      <c r="AS44" s="21" t="s">
        <v>1989</v>
      </c>
      <c r="AT44" s="21" t="str">
        <f>IFERROR(IF(FIND("?",ckAwdTable[abst_narr_txt]),SummarizeQuestMarks(ckAwdTable[abst_narr_txt]),""),"")</f>
        <v/>
      </c>
      <c r="AU44" s="21" t="s">
        <v>1200</v>
      </c>
      <c r="AV44" t="s">
        <v>2173</v>
      </c>
      <c r="AW44" t="b">
        <f>AND(ckAwdTable[[#This Row],[ILN]]&gt;"M", SUBSTITUTE(ckAwdTable[[#This Row],[prop_titl_txt]]," ","")&lt;&gt;SUBSTITUTE(AV43," ",""))</f>
        <v>0</v>
      </c>
      <c r="AX44" s="8" t="s">
        <v>773</v>
      </c>
    </row>
    <row r="45" spans="1:50">
      <c r="A45" s="30">
        <v>42955.700150462966</v>
      </c>
      <c r="B45" s="30">
        <v>42809.642361111109</v>
      </c>
      <c r="C45" t="s">
        <v>1965</v>
      </c>
      <c r="D45" t="s">
        <v>741</v>
      </c>
      <c r="E45" t="s">
        <v>901</v>
      </c>
      <c r="F45" t="s">
        <v>540</v>
      </c>
      <c r="G45" s="8" t="s">
        <v>1966</v>
      </c>
      <c r="H45" s="8" t="s">
        <v>170</v>
      </c>
      <c r="I45" s="8" t="s">
        <v>2709</v>
      </c>
      <c r="J45" t="s">
        <v>94</v>
      </c>
      <c r="K45" t="s">
        <v>1967</v>
      </c>
      <c r="L45" s="22">
        <v>42914.639050925929</v>
      </c>
      <c r="M45" s="109">
        <f xml:space="preserve"> M44+(ckAwdTable[ILN]&lt;"M")</f>
        <v>25</v>
      </c>
      <c r="N45" t="s">
        <v>96</v>
      </c>
      <c r="O45" t="s">
        <v>1207</v>
      </c>
      <c r="P45" s="15" t="str">
        <f>HYPERLINK("https://www.ejacket.nsf.gov/ej/showProposal.do?ID="&amp;ckAwdTable[[#This Row],[prop_id]],"eJ")</f>
        <v>eJ</v>
      </c>
      <c r="Q45" s="8" t="s">
        <v>742</v>
      </c>
      <c r="R45" t="s">
        <v>1207</v>
      </c>
      <c r="S45" t="s">
        <v>1208</v>
      </c>
      <c r="T45" t="s">
        <v>2183</v>
      </c>
      <c r="U45" s="8" t="s">
        <v>2184</v>
      </c>
      <c r="V45" t="s">
        <v>2182</v>
      </c>
      <c r="W45" s="113" t="str">
        <f>HYPERLINK("mailto:"&amp; ckAwdTable[[#This Row],[email]]&amp;"&amp;subject=Your NSF Proposal:  "&amp;ckAwdTable[[#This Row],[prop_id]], ckAwdTable[[#This Row],[email]])</f>
        <v>embree@vt.edu</v>
      </c>
      <c r="X45" s="30">
        <v>43009</v>
      </c>
      <c r="Y45">
        <v>36</v>
      </c>
      <c r="AA45" s="21" t="s">
        <v>13</v>
      </c>
      <c r="AB45" s="21" t="s">
        <v>424</v>
      </c>
      <c r="AC45"/>
      <c r="AD45" s="21" t="s">
        <v>13</v>
      </c>
      <c r="AF45" s="124">
        <v>1498424</v>
      </c>
      <c r="AG45" s="21">
        <v>0</v>
      </c>
      <c r="AH45" s="1">
        <v>1498424</v>
      </c>
      <c r="AI45" s="1"/>
      <c r="AJ45" s="1"/>
      <c r="AL45" s="1">
        <v>139899</v>
      </c>
      <c r="AM45" s="21">
        <v>16</v>
      </c>
      <c r="AN45" s="21">
        <v>27</v>
      </c>
      <c r="AO45" s="21">
        <v>11.49</v>
      </c>
      <c r="AP45" s="21"/>
      <c r="AQ45" s="21"/>
      <c r="AR45" s="8" t="s">
        <v>1971</v>
      </c>
      <c r="AS45" s="21" t="s">
        <v>1989</v>
      </c>
      <c r="AT45" s="21" t="str">
        <f>IFERROR(IF(FIND("?",ckAwdTable[abst_narr_txt]),SummarizeQuestMarks(ckAwdTable[abst_narr_txt]),""),"")</f>
        <v/>
      </c>
      <c r="AU45" s="21"/>
      <c r="AV45" t="s">
        <v>2186</v>
      </c>
      <c r="AW45" t="b">
        <f>AND(ckAwdTable[[#This Row],[ILN]]&gt;"M", SUBSTITUTE(ckAwdTable[[#This Row],[prop_titl_txt]]," ","")&lt;&gt;SUBSTITUTE(AV44," ",""))</f>
        <v>0</v>
      </c>
      <c r="AX45" s="8" t="s">
        <v>2187</v>
      </c>
    </row>
    <row r="46" spans="1:50">
      <c r="A46" s="30">
        <v>42957.67931712963</v>
      </c>
      <c r="B46" s="30">
        <v>42809.648611111108</v>
      </c>
      <c r="C46" t="s">
        <v>1965</v>
      </c>
      <c r="D46" t="s">
        <v>741</v>
      </c>
      <c r="E46" t="s">
        <v>901</v>
      </c>
      <c r="F46" t="s">
        <v>543</v>
      </c>
      <c r="G46" s="8" t="s">
        <v>1966</v>
      </c>
      <c r="H46" s="8" t="s">
        <v>170</v>
      </c>
      <c r="I46" s="8" t="s">
        <v>2709</v>
      </c>
      <c r="J46" t="s">
        <v>94</v>
      </c>
      <c r="K46" t="s">
        <v>1967</v>
      </c>
      <c r="L46" s="22">
        <v>42951.506886574076</v>
      </c>
      <c r="M46" s="109">
        <f xml:space="preserve"> M45+(ckAwdTable[ILN]&lt;"M")</f>
        <v>26</v>
      </c>
      <c r="N46" t="s">
        <v>96</v>
      </c>
      <c r="O46" t="s">
        <v>1215</v>
      </c>
      <c r="P46" s="15" t="str">
        <f>HYPERLINK("https://www.ejacket.nsf.gov/ej/showProposal.do?ID="&amp;ckAwdTable[[#This Row],[prop_id]],"eJ")</f>
        <v>eJ</v>
      </c>
      <c r="Q46" s="8" t="s">
        <v>742</v>
      </c>
      <c r="R46" t="s">
        <v>1215</v>
      </c>
      <c r="S46" t="s">
        <v>1216</v>
      </c>
      <c r="T46" t="s">
        <v>2188</v>
      </c>
      <c r="U46" s="8" t="s">
        <v>1983</v>
      </c>
      <c r="V46" t="s">
        <v>1980</v>
      </c>
      <c r="W46" s="113" t="str">
        <f>HYPERLINK("mailto:"&amp; ckAwdTable[[#This Row],[email]]&amp;"&amp;subject=Your NSF Proposal:  "&amp;ckAwdTable[[#This Row],[prop_id]], ckAwdTable[[#This Row],[email]])</f>
        <v>rvidal@cis.jhu.edu</v>
      </c>
      <c r="X46" s="30">
        <v>42979</v>
      </c>
      <c r="Y46">
        <v>36</v>
      </c>
      <c r="AA46" s="21" t="s">
        <v>13</v>
      </c>
      <c r="AB46" s="21" t="s">
        <v>424</v>
      </c>
      <c r="AC46"/>
      <c r="AD46" s="21" t="s">
        <v>13</v>
      </c>
      <c r="AF46" s="124">
        <v>1500000</v>
      </c>
      <c r="AG46" s="21">
        <v>0</v>
      </c>
      <c r="AH46" s="1">
        <v>1500000</v>
      </c>
      <c r="AI46" s="1"/>
      <c r="AJ46" s="1">
        <v>32145</v>
      </c>
      <c r="AL46" s="1">
        <v>209970</v>
      </c>
      <c r="AM46" s="21">
        <v>12</v>
      </c>
      <c r="AN46" s="21">
        <v>21</v>
      </c>
      <c r="AO46" s="21"/>
      <c r="AP46" s="21"/>
      <c r="AQ46" s="21">
        <v>9</v>
      </c>
      <c r="AR46" s="8" t="s">
        <v>1971</v>
      </c>
      <c r="AS46" s="21" t="s">
        <v>1989</v>
      </c>
      <c r="AT46" s="21" t="str">
        <f>IFERROR(IF(FIND("?",ckAwdTable[abst_narr_txt]),SummarizeQuestMarks(ckAwdTable[abst_narr_txt]),""),"")</f>
        <v/>
      </c>
      <c r="AU46" s="21"/>
      <c r="AV46" t="s">
        <v>2190</v>
      </c>
      <c r="AW46" t="b">
        <f>AND(ckAwdTable[[#This Row],[ILN]]&gt;"M", SUBSTITUTE(ckAwdTable[[#This Row],[prop_titl_txt]]," ","")&lt;&gt;SUBSTITUTE(AV45," ",""))</f>
        <v>0</v>
      </c>
      <c r="AX46" s="8" t="s">
        <v>2191</v>
      </c>
    </row>
    <row r="47" spans="1:50">
      <c r="A47" s="30">
        <v>42955.654189814813</v>
      </c>
      <c r="B47" s="30">
        <v>42809.649305555555</v>
      </c>
      <c r="C47" t="s">
        <v>1965</v>
      </c>
      <c r="D47" t="s">
        <v>741</v>
      </c>
      <c r="E47" t="s">
        <v>901</v>
      </c>
      <c r="F47" t="s">
        <v>942</v>
      </c>
      <c r="G47" s="8" t="s">
        <v>1966</v>
      </c>
      <c r="H47" s="8" t="s">
        <v>170</v>
      </c>
      <c r="I47" s="8" t="s">
        <v>2709</v>
      </c>
      <c r="J47" t="s">
        <v>94</v>
      </c>
      <c r="K47" t="s">
        <v>1967</v>
      </c>
      <c r="L47" s="22">
        <v>42955.527268518519</v>
      </c>
      <c r="M47" s="109">
        <f xml:space="preserve"> M46+(ckAwdTable[ILN]&lt;"M")</f>
        <v>27</v>
      </c>
      <c r="N47" t="s">
        <v>96</v>
      </c>
      <c r="O47" t="s">
        <v>1222</v>
      </c>
      <c r="P47" s="15" t="str">
        <f>HYPERLINK("https://www.ejacket.nsf.gov/ej/showProposal.do?ID="&amp;ckAwdTable[[#This Row],[prop_id]],"eJ")</f>
        <v>eJ</v>
      </c>
      <c r="Q47" s="8" t="s">
        <v>742</v>
      </c>
      <c r="R47" t="s">
        <v>1222</v>
      </c>
      <c r="S47" t="s">
        <v>1223</v>
      </c>
      <c r="T47" t="s">
        <v>2013</v>
      </c>
      <c r="U47" s="8" t="s">
        <v>2193</v>
      </c>
      <c r="V47" t="s">
        <v>2192</v>
      </c>
      <c r="W47" s="113" t="str">
        <f>HYPERLINK("mailto:"&amp; ckAwdTable[[#This Row],[email]]&amp;"&amp;subject=Your NSF Proposal:  "&amp;ckAwdTable[[#This Row],[prop_id]], ckAwdTable[[#This Row],[email]])</f>
        <v>jeffp@cs.utah.edu</v>
      </c>
      <c r="X47" s="30">
        <v>42979</v>
      </c>
      <c r="Y47">
        <v>36</v>
      </c>
      <c r="AA47" s="21" t="s">
        <v>13</v>
      </c>
      <c r="AB47" s="21" t="s">
        <v>424</v>
      </c>
      <c r="AC47"/>
      <c r="AD47" s="21" t="s">
        <v>13</v>
      </c>
      <c r="AF47" s="124">
        <v>1500000</v>
      </c>
      <c r="AG47" s="21">
        <v>0</v>
      </c>
      <c r="AH47" s="1">
        <v>1500000</v>
      </c>
      <c r="AI47" s="1"/>
      <c r="AJ47" s="1"/>
      <c r="AK47" s="1">
        <v>202904</v>
      </c>
      <c r="AL47" s="1">
        <v>45000</v>
      </c>
      <c r="AM47" s="21">
        <v>9</v>
      </c>
      <c r="AN47" s="21">
        <v>21</v>
      </c>
      <c r="AO47" s="21">
        <v>6</v>
      </c>
      <c r="AP47" s="21"/>
      <c r="AQ47" s="21"/>
      <c r="AR47" s="8" t="s">
        <v>1971</v>
      </c>
      <c r="AS47" s="21" t="s">
        <v>1989</v>
      </c>
      <c r="AT47" s="21" t="str">
        <f>IFERROR(IF(FIND("?",ckAwdTable[abst_narr_txt]),SummarizeQuestMarks(ckAwdTable[abst_narr_txt]),""),"")</f>
        <v/>
      </c>
      <c r="AU47" s="21"/>
      <c r="AV47" t="s">
        <v>2195</v>
      </c>
      <c r="AW47" t="b">
        <f>AND(ckAwdTable[[#This Row],[ILN]]&gt;"M", SUBSTITUTE(ckAwdTable[[#This Row],[prop_titl_txt]]," ","")&lt;&gt;SUBSTITUTE(AV46," ",""))</f>
        <v>0</v>
      </c>
      <c r="AX47" s="8" t="s">
        <v>2196</v>
      </c>
    </row>
    <row r="48" spans="1:50">
      <c r="A48" s="30">
        <v>42957.620868055557</v>
      </c>
      <c r="B48" s="30">
        <v>42809.651388888888</v>
      </c>
      <c r="C48" t="s">
        <v>1965</v>
      </c>
      <c r="D48" t="s">
        <v>741</v>
      </c>
      <c r="E48" t="s">
        <v>901</v>
      </c>
      <c r="F48" t="s">
        <v>543</v>
      </c>
      <c r="G48" s="8" t="s">
        <v>1966</v>
      </c>
      <c r="H48" s="8" t="s">
        <v>170</v>
      </c>
      <c r="I48" s="8" t="s">
        <v>2709</v>
      </c>
      <c r="J48" t="s">
        <v>94</v>
      </c>
      <c r="K48" t="s">
        <v>1967</v>
      </c>
      <c r="L48" s="22">
        <v>42957.618854166663</v>
      </c>
      <c r="M48" s="109">
        <f xml:space="preserve"> M47+(ckAwdTable[ILN]&lt;"M")</f>
        <v>28</v>
      </c>
      <c r="N48" t="s">
        <v>96</v>
      </c>
      <c r="O48" t="s">
        <v>1233</v>
      </c>
      <c r="P48" s="15" t="str">
        <f>HYPERLINK("https://www.ejacket.nsf.gov/ej/showProposal.do?ID="&amp;ckAwdTable[[#This Row],[prop_id]],"eJ")</f>
        <v>eJ</v>
      </c>
      <c r="Q48" s="8" t="s">
        <v>742</v>
      </c>
      <c r="R48" t="s">
        <v>1233</v>
      </c>
      <c r="S48" t="s">
        <v>1234</v>
      </c>
      <c r="T48" t="s">
        <v>2197</v>
      </c>
      <c r="U48" s="8" t="s">
        <v>2198</v>
      </c>
      <c r="V48" t="s">
        <v>344</v>
      </c>
      <c r="W48" s="113" t="str">
        <f>HYPERLINK("mailto:"&amp; ckAwdTable[[#This Row],[email]]&amp;"&amp;subject=Your NSF Proposal:  "&amp;ckAwdTable[[#This Row],[prop_id]], ckAwdTable[[#This Row],[email]])</f>
        <v>sayan@stat.duke.edu</v>
      </c>
      <c r="X48" s="30">
        <v>42917</v>
      </c>
      <c r="Y48">
        <v>36</v>
      </c>
      <c r="AA48" s="21" t="s">
        <v>13</v>
      </c>
      <c r="AB48" s="21" t="s">
        <v>424</v>
      </c>
      <c r="AC48"/>
      <c r="AD48" s="21" t="s">
        <v>13</v>
      </c>
      <c r="AE48" s="21" t="s">
        <v>2710</v>
      </c>
      <c r="AF48" s="124">
        <v>1497550</v>
      </c>
      <c r="AG48" s="21">
        <v>0</v>
      </c>
      <c r="AH48" s="1">
        <v>1497550</v>
      </c>
      <c r="AI48" s="1"/>
      <c r="AJ48" s="1">
        <v>2000</v>
      </c>
      <c r="AK48" s="1">
        <v>228252</v>
      </c>
      <c r="AM48" s="21">
        <v>10</v>
      </c>
      <c r="AN48" s="21">
        <v>12</v>
      </c>
      <c r="AO48" s="21">
        <v>3</v>
      </c>
      <c r="AP48" s="21"/>
      <c r="AQ48" s="21"/>
      <c r="AR48" s="8" t="s">
        <v>1971</v>
      </c>
      <c r="AS48" s="21" t="s">
        <v>1989</v>
      </c>
      <c r="AT48" s="21" t="str">
        <f>IFERROR(IF(FIND("?",ckAwdTable[abst_narr_txt]),SummarizeQuestMarks(ckAwdTable[abst_narr_txt]),""),"")</f>
        <v/>
      </c>
      <c r="AU48" s="21"/>
      <c r="AV48" t="s">
        <v>2200</v>
      </c>
      <c r="AW48" t="b">
        <f>AND(ckAwdTable[[#This Row],[ILN]]&gt;"M", SUBSTITUTE(ckAwdTable[[#This Row],[prop_titl_txt]]," ","")&lt;&gt;SUBSTITUTE(AV47," ",""))</f>
        <v>0</v>
      </c>
      <c r="AX48" s="8" t="s">
        <v>2201</v>
      </c>
    </row>
    <row r="49" spans="1:50">
      <c r="A49" s="30">
        <v>42955.701689814814</v>
      </c>
      <c r="B49" s="30">
        <v>42809.654166666667</v>
      </c>
      <c r="C49" t="s">
        <v>1965</v>
      </c>
      <c r="D49" t="s">
        <v>741</v>
      </c>
      <c r="E49" t="s">
        <v>901</v>
      </c>
      <c r="F49" t="s">
        <v>942</v>
      </c>
      <c r="G49" s="8" t="s">
        <v>1966</v>
      </c>
      <c r="H49" s="8" t="s">
        <v>170</v>
      </c>
      <c r="I49" s="8" t="s">
        <v>2709</v>
      </c>
      <c r="J49" t="s">
        <v>94</v>
      </c>
      <c r="K49" t="s">
        <v>1967</v>
      </c>
      <c r="L49" s="22">
        <v>42954.395358796297</v>
      </c>
      <c r="M49" s="109">
        <f xml:space="preserve"> M48+(ckAwdTable[ILN]&lt;"M")</f>
        <v>29</v>
      </c>
      <c r="N49" t="s">
        <v>96</v>
      </c>
      <c r="O49" t="s">
        <v>1241</v>
      </c>
      <c r="P49" s="15" t="str">
        <f>HYPERLINK("https://www.ejacket.nsf.gov/ej/showProposal.do?ID="&amp;ckAwdTable[[#This Row],[prop_id]],"eJ")</f>
        <v>eJ</v>
      </c>
      <c r="Q49" s="8" t="s">
        <v>742</v>
      </c>
      <c r="R49" t="s">
        <v>1241</v>
      </c>
      <c r="S49" t="s">
        <v>1242</v>
      </c>
      <c r="T49" t="s">
        <v>2202</v>
      </c>
      <c r="U49" s="8" t="s">
        <v>2203</v>
      </c>
      <c r="V49" t="s">
        <v>1988</v>
      </c>
      <c r="W49" s="113" t="str">
        <f>HYPERLINK("mailto:"&amp; ckAwdTable[[#This Row],[email]]&amp;"&amp;subject=Your NSF Proposal:  "&amp;ckAwdTable[[#This Row],[prop_id]], ckAwdTable[[#This Row],[email]])</f>
        <v>brendan.mumey@montana.edu</v>
      </c>
      <c r="X49" s="30">
        <v>43101</v>
      </c>
      <c r="Y49">
        <v>36</v>
      </c>
      <c r="AA49" s="21" t="s">
        <v>13</v>
      </c>
      <c r="AB49" s="21" t="s">
        <v>2719</v>
      </c>
      <c r="AC49"/>
      <c r="AD49" s="21" t="s">
        <v>13</v>
      </c>
      <c r="AE49" s="21" t="s">
        <v>2710</v>
      </c>
      <c r="AF49" s="124">
        <v>1530999</v>
      </c>
      <c r="AG49" s="21">
        <v>1</v>
      </c>
      <c r="AH49" s="1">
        <v>1530172</v>
      </c>
      <c r="AI49" s="1"/>
      <c r="AJ49" s="1">
        <v>9000</v>
      </c>
      <c r="AK49" s="1">
        <v>145000</v>
      </c>
      <c r="AL49" s="1">
        <v>102400</v>
      </c>
      <c r="AM49" s="21">
        <v>12</v>
      </c>
      <c r="AN49" s="21">
        <v>15</v>
      </c>
      <c r="AO49" s="21"/>
      <c r="AP49" s="21"/>
      <c r="AQ49" s="21">
        <v>25.9</v>
      </c>
      <c r="AR49" s="8" t="s">
        <v>1971</v>
      </c>
      <c r="AS49" s="21" t="s">
        <v>1989</v>
      </c>
      <c r="AT49" s="21" t="str">
        <f>IFERROR(IF(FIND("?",ckAwdTable[abst_narr_txt]),SummarizeQuestMarks(ckAwdTable[abst_narr_txt]),""),"")</f>
        <v/>
      </c>
      <c r="AU49" s="21"/>
      <c r="AV49" t="s">
        <v>2205</v>
      </c>
      <c r="AW49" t="b">
        <f>AND(ckAwdTable[[#This Row],[ILN]]&gt;"M", SUBSTITUTE(ckAwdTable[[#This Row],[prop_titl_txt]]," ","")&lt;&gt;SUBSTITUTE(AV48," ",""))</f>
        <v>0</v>
      </c>
      <c r="AX49" s="8" t="s">
        <v>2206</v>
      </c>
    </row>
    <row r="50" spans="1:50">
      <c r="A50" s="30">
        <v>42934.47079861111</v>
      </c>
      <c r="B50" s="30">
        <v>42809.65902777778</v>
      </c>
      <c r="C50" t="s">
        <v>1965</v>
      </c>
      <c r="D50" t="s">
        <v>741</v>
      </c>
      <c r="E50" t="s">
        <v>901</v>
      </c>
      <c r="F50" t="s">
        <v>540</v>
      </c>
      <c r="G50" s="8" t="s">
        <v>1966</v>
      </c>
      <c r="H50" s="8" t="s">
        <v>170</v>
      </c>
      <c r="I50" s="8" t="s">
        <v>2709</v>
      </c>
      <c r="J50" t="s">
        <v>94</v>
      </c>
      <c r="K50" t="s">
        <v>1967</v>
      </c>
      <c r="L50" s="22">
        <v>42920.123148148145</v>
      </c>
      <c r="M50" s="109">
        <f xml:space="preserve"> M49+(ckAwdTable[ILN]&lt;"M")</f>
        <v>30</v>
      </c>
      <c r="N50" t="s">
        <v>96</v>
      </c>
      <c r="O50" t="s">
        <v>1248</v>
      </c>
      <c r="P50" s="15" t="str">
        <f>HYPERLINK("https://www.ejacket.nsf.gov/ej/showProposal.do?ID="&amp;ckAwdTable[[#This Row],[prop_id]],"eJ")</f>
        <v>eJ</v>
      </c>
      <c r="Q50" s="8" t="s">
        <v>742</v>
      </c>
      <c r="R50" t="s">
        <v>1248</v>
      </c>
      <c r="S50" t="s">
        <v>1249</v>
      </c>
      <c r="T50" t="s">
        <v>2208</v>
      </c>
      <c r="U50" s="8" t="s">
        <v>2209</v>
      </c>
      <c r="V50" t="s">
        <v>2207</v>
      </c>
      <c r="W50" s="113" t="str">
        <f>HYPERLINK("mailto:"&amp; ckAwdTable[[#This Row],[email]]&amp;"&amp;subject=Your NSF Proposal:  "&amp;ckAwdTable[[#This Row],[prop_id]], ckAwdTable[[#This Row],[email]])</f>
        <v>eabbe@princeton.edu</v>
      </c>
      <c r="X50" s="30">
        <v>42979</v>
      </c>
      <c r="Y50">
        <v>36</v>
      </c>
      <c r="AA50" s="21" t="s">
        <v>13</v>
      </c>
      <c r="AB50" s="21" t="s">
        <v>424</v>
      </c>
      <c r="AC50"/>
      <c r="AD50" s="21" t="s">
        <v>13</v>
      </c>
      <c r="AE50" s="21" t="s">
        <v>2720</v>
      </c>
      <c r="AF50" s="124">
        <v>1500000</v>
      </c>
      <c r="AG50" s="21">
        <v>0</v>
      </c>
      <c r="AH50" s="1">
        <v>1500000</v>
      </c>
      <c r="AI50" s="1"/>
      <c r="AJ50" s="1">
        <v>22284</v>
      </c>
      <c r="AK50" s="1">
        <v>339999</v>
      </c>
      <c r="AM50" s="21">
        <v>9</v>
      </c>
      <c r="AN50" s="21"/>
      <c r="AO50" s="21"/>
      <c r="AP50" s="21"/>
      <c r="AQ50" s="21"/>
      <c r="AR50" s="8" t="s">
        <v>1971</v>
      </c>
      <c r="AS50" s="21" t="s">
        <v>1989</v>
      </c>
      <c r="AT50" s="21" t="str">
        <f>IFERROR(IF(FIND("?",ckAwdTable[abst_narr_txt]),SummarizeQuestMarks(ckAwdTable[abst_narr_txt]),""),"")</f>
        <v/>
      </c>
      <c r="AU50" s="21"/>
      <c r="AV50" t="s">
        <v>2210</v>
      </c>
      <c r="AW50" t="b">
        <f>AND(ckAwdTable[[#This Row],[ILN]]&gt;"M", SUBSTITUTE(ckAwdTable[[#This Row],[prop_titl_txt]]," ","")&lt;&gt;SUBSTITUTE(AV49," ",""))</f>
        <v>0</v>
      </c>
      <c r="AX50" s="8" t="s">
        <v>2211</v>
      </c>
    </row>
    <row r="51" spans="1:50">
      <c r="A51" s="30">
        <v>42955.657233796293</v>
      </c>
      <c r="B51" s="30">
        <v>42809.661111111112</v>
      </c>
      <c r="C51" t="s">
        <v>1965</v>
      </c>
      <c r="D51" t="s">
        <v>741</v>
      </c>
      <c r="E51" t="s">
        <v>901</v>
      </c>
      <c r="F51" t="s">
        <v>948</v>
      </c>
      <c r="G51" s="8" t="s">
        <v>1966</v>
      </c>
      <c r="H51" s="8" t="s">
        <v>170</v>
      </c>
      <c r="I51" s="8" t="s">
        <v>2709</v>
      </c>
      <c r="J51" t="s">
        <v>94</v>
      </c>
      <c r="K51" t="s">
        <v>1967</v>
      </c>
      <c r="L51" s="22">
        <v>42955.43986111111</v>
      </c>
      <c r="M51" s="109">
        <f xml:space="preserve"> M50+(ckAwdTable[ILN]&lt;"M")</f>
        <v>31</v>
      </c>
      <c r="N51" t="s">
        <v>96</v>
      </c>
      <c r="O51" t="s">
        <v>1256</v>
      </c>
      <c r="P51" s="15" t="str">
        <f>HYPERLINK("https://www.ejacket.nsf.gov/ej/showProposal.do?ID="&amp;ckAwdTable[[#This Row],[prop_id]],"eJ")</f>
        <v>eJ</v>
      </c>
      <c r="Q51" s="8" t="s">
        <v>742</v>
      </c>
      <c r="R51" t="s">
        <v>1256</v>
      </c>
      <c r="S51" t="s">
        <v>1257</v>
      </c>
      <c r="T51" t="s">
        <v>2213</v>
      </c>
      <c r="U51" s="8" t="s">
        <v>2214</v>
      </c>
      <c r="V51" t="s">
        <v>2212</v>
      </c>
      <c r="W51" s="113" t="str">
        <f>HYPERLINK("mailto:"&amp; ckAwdTable[[#This Row],[email]]&amp;"&amp;subject=Your NSF Proposal:  "&amp;ckAwdTable[[#This Row],[prop_id]], ckAwdTable[[#This Row],[email]])</f>
        <v>lerman@umn.edu</v>
      </c>
      <c r="X51" s="30">
        <v>42979</v>
      </c>
      <c r="Y51">
        <v>36</v>
      </c>
      <c r="AA51" s="21" t="s">
        <v>13</v>
      </c>
      <c r="AB51" s="21" t="s">
        <v>424</v>
      </c>
      <c r="AC51"/>
      <c r="AD51" s="21" t="s">
        <v>13</v>
      </c>
      <c r="AF51" s="124">
        <v>1500000</v>
      </c>
      <c r="AG51" s="21">
        <v>0</v>
      </c>
      <c r="AH51" s="1">
        <v>1500000</v>
      </c>
      <c r="AI51" s="1"/>
      <c r="AJ51" s="1"/>
      <c r="AK51" s="1">
        <v>203863</v>
      </c>
      <c r="AL51" s="1">
        <v>311114</v>
      </c>
      <c r="AM51" s="21">
        <v>6</v>
      </c>
      <c r="AN51" s="21">
        <v>15</v>
      </c>
      <c r="AO51" s="21">
        <v>15</v>
      </c>
      <c r="AP51" s="21"/>
      <c r="AQ51" s="21"/>
      <c r="AR51" s="8" t="s">
        <v>1971</v>
      </c>
      <c r="AS51" s="21" t="s">
        <v>1989</v>
      </c>
      <c r="AT51" s="21" t="str">
        <f>IFERROR(IF(FIND("?",ckAwdTable[abst_narr_txt]),SummarizeQuestMarks(ckAwdTable[abst_narr_txt]),""),"")</f>
        <v/>
      </c>
      <c r="AU51" s="21"/>
      <c r="AV51" t="s">
        <v>2215</v>
      </c>
      <c r="AW51" t="b">
        <f>AND(ckAwdTable[[#This Row],[ILN]]&gt;"M", SUBSTITUTE(ckAwdTable[[#This Row],[prop_titl_txt]]," ","")&lt;&gt;SUBSTITUTE(AV50," ",""))</f>
        <v>0</v>
      </c>
      <c r="AX51" s="8" t="s">
        <v>2216</v>
      </c>
    </row>
    <row r="52" spans="1:50">
      <c r="A52" s="30">
        <v>42956.380891203706</v>
      </c>
      <c r="B52" s="30">
        <v>42809.663888888892</v>
      </c>
      <c r="C52" t="s">
        <v>1965</v>
      </c>
      <c r="D52" t="s">
        <v>741</v>
      </c>
      <c r="E52" t="s">
        <v>901</v>
      </c>
      <c r="F52" t="s">
        <v>543</v>
      </c>
      <c r="G52" s="8" t="s">
        <v>1966</v>
      </c>
      <c r="H52" s="8" t="s">
        <v>170</v>
      </c>
      <c r="I52" s="8" t="s">
        <v>2709</v>
      </c>
      <c r="J52" t="s">
        <v>94</v>
      </c>
      <c r="K52" t="s">
        <v>1967</v>
      </c>
      <c r="L52" s="22">
        <v>42951.594155092593</v>
      </c>
      <c r="M52" s="109">
        <f xml:space="preserve"> M51+(ckAwdTable[ILN]&lt;"M")</f>
        <v>32</v>
      </c>
      <c r="N52" t="s">
        <v>96</v>
      </c>
      <c r="O52" t="s">
        <v>1264</v>
      </c>
      <c r="P52" s="15" t="str">
        <f>HYPERLINK("https://www.ejacket.nsf.gov/ej/showProposal.do?ID="&amp;ckAwdTable[[#This Row],[prop_id]],"eJ")</f>
        <v>eJ</v>
      </c>
      <c r="Q52" s="8" t="s">
        <v>742</v>
      </c>
      <c r="R52" t="s">
        <v>1264</v>
      </c>
      <c r="S52" t="s">
        <v>1265</v>
      </c>
      <c r="T52" t="s">
        <v>1969</v>
      </c>
      <c r="U52" s="8" t="s">
        <v>2217</v>
      </c>
      <c r="V52" t="s">
        <v>257</v>
      </c>
      <c r="W52" s="113" t="str">
        <f>HYPERLINK("mailto:"&amp; ckAwdTable[[#This Row],[email]]&amp;"&amp;subject=Your NSF Proposal:  "&amp;ckAwdTable[[#This Row],[prop_id]], ckAwdTable[[#This Row],[email]])</f>
        <v>michaelm@eecs.harvard.edu</v>
      </c>
      <c r="X52" s="30">
        <v>43101</v>
      </c>
      <c r="Y52">
        <v>36</v>
      </c>
      <c r="AA52" s="21" t="s">
        <v>13</v>
      </c>
      <c r="AB52" s="21" t="s">
        <v>424</v>
      </c>
      <c r="AC52"/>
      <c r="AD52" s="21" t="s">
        <v>13</v>
      </c>
      <c r="AF52" s="124">
        <v>1500000</v>
      </c>
      <c r="AG52" s="21">
        <v>0</v>
      </c>
      <c r="AH52" s="1">
        <v>1500000</v>
      </c>
      <c r="AI52" s="1"/>
      <c r="AJ52" s="1"/>
      <c r="AK52" s="1">
        <v>481201</v>
      </c>
      <c r="AM52" s="21">
        <v>2</v>
      </c>
      <c r="AN52" s="21">
        <v>8</v>
      </c>
      <c r="AO52" s="21"/>
      <c r="AP52" s="21"/>
      <c r="AQ52" s="21">
        <v>4</v>
      </c>
      <c r="AR52" s="8" t="s">
        <v>1971</v>
      </c>
      <c r="AS52" s="21" t="s">
        <v>1989</v>
      </c>
      <c r="AT52" s="21" t="str">
        <f>IFERROR(IF(FIND("?",ckAwdTable[abst_narr_txt]),SummarizeQuestMarks(ckAwdTable[abst_narr_txt]),""),"")</f>
        <v/>
      </c>
      <c r="AU52" s="21"/>
      <c r="AV52" t="s">
        <v>2219</v>
      </c>
      <c r="AW52" t="b">
        <f>AND(ckAwdTable[[#This Row],[ILN]]&gt;"M", SUBSTITUTE(ckAwdTable[[#This Row],[prop_titl_txt]]," ","")&lt;&gt;SUBSTITUTE(AV51," ",""))</f>
        <v>0</v>
      </c>
      <c r="AX52" s="8" t="s">
        <v>2220</v>
      </c>
    </row>
    <row r="53" spans="1:50">
      <c r="A53" s="30">
        <v>42955.728993055556</v>
      </c>
      <c r="B53" s="30">
        <v>42809.663888888892</v>
      </c>
      <c r="C53" t="s">
        <v>1965</v>
      </c>
      <c r="D53" t="s">
        <v>741</v>
      </c>
      <c r="E53" t="s">
        <v>901</v>
      </c>
      <c r="F53" t="s">
        <v>540</v>
      </c>
      <c r="G53" s="8" t="s">
        <v>1966</v>
      </c>
      <c r="H53" s="8" t="s">
        <v>170</v>
      </c>
      <c r="I53" s="8" t="s">
        <v>2709</v>
      </c>
      <c r="J53" t="s">
        <v>94</v>
      </c>
      <c r="K53" t="s">
        <v>1967</v>
      </c>
      <c r="L53" s="22">
        <v>42914.640648148146</v>
      </c>
      <c r="M53" s="109">
        <f xml:space="preserve"> M52+(ckAwdTable[ILN]&lt;"M")</f>
        <v>33</v>
      </c>
      <c r="N53" t="s">
        <v>1981</v>
      </c>
      <c r="O53" t="s">
        <v>1271</v>
      </c>
      <c r="P53" s="15" t="str">
        <f>HYPERLINK("https://www.ejacket.nsf.gov/ej/showProposal.do?ID="&amp;ckAwdTable[[#This Row],[prop_id]],"eJ")</f>
        <v>eJ</v>
      </c>
      <c r="Q53" s="8" t="s">
        <v>742</v>
      </c>
      <c r="R53" t="s">
        <v>1271</v>
      </c>
      <c r="S53" t="s">
        <v>1272</v>
      </c>
      <c r="T53" t="s">
        <v>2221</v>
      </c>
      <c r="U53" s="8" t="s">
        <v>2222</v>
      </c>
      <c r="V53" t="s">
        <v>258</v>
      </c>
      <c r="W53" s="113" t="str">
        <f>HYPERLINK("mailto:"&amp; ckAwdTable[[#This Row],[email]]&amp;"&amp;subject=Your NSF Proposal:  "&amp;ckAwdTable[[#This Row],[prop_id]], ckAwdTable[[#This Row],[email]])</f>
        <v>mishra@cs.nyu.edu</v>
      </c>
      <c r="X53" s="30">
        <v>42979</v>
      </c>
      <c r="Y53">
        <v>36</v>
      </c>
      <c r="AA53" s="21" t="s">
        <v>13</v>
      </c>
      <c r="AB53" s="21" t="s">
        <v>424</v>
      </c>
      <c r="AC53"/>
      <c r="AD53" s="21" t="s">
        <v>13</v>
      </c>
      <c r="AE53" s="21" t="s">
        <v>2710</v>
      </c>
      <c r="AF53" s="124">
        <v>1050000</v>
      </c>
      <c r="AG53" s="21">
        <v>0</v>
      </c>
      <c r="AH53" s="1">
        <v>1050000</v>
      </c>
      <c r="AI53" s="1"/>
      <c r="AJ53" s="1">
        <v>11969</v>
      </c>
      <c r="AK53" s="1">
        <v>204914</v>
      </c>
      <c r="AM53" s="21">
        <v>11</v>
      </c>
      <c r="AN53" s="21">
        <v>6</v>
      </c>
      <c r="AO53" s="21">
        <v>6</v>
      </c>
      <c r="AP53" s="21"/>
      <c r="AQ53" s="21"/>
      <c r="AR53" s="8" t="s">
        <v>1971</v>
      </c>
      <c r="AS53" s="21" t="s">
        <v>1989</v>
      </c>
      <c r="AT53" s="21" t="str">
        <f>IFERROR(IF(FIND("?",ckAwdTable[abst_narr_txt]),SummarizeQuestMarks(ckAwdTable[abst_narr_txt]),""),"")</f>
        <v/>
      </c>
      <c r="AU53" s="21"/>
      <c r="AV53" t="s">
        <v>2224</v>
      </c>
      <c r="AW53" t="b">
        <f>AND(ckAwdTable[[#This Row],[ILN]]&gt;"M", SUBSTITUTE(ckAwdTable[[#This Row],[prop_titl_txt]]," ","")&lt;&gt;SUBSTITUTE(AV52," ",""))</f>
        <v>0</v>
      </c>
      <c r="AX53" s="8" t="s">
        <v>2225</v>
      </c>
    </row>
    <row r="54" spans="1:50">
      <c r="A54" s="30">
        <v>42955.728993055556</v>
      </c>
      <c r="B54" s="30">
        <v>42809.627083333333</v>
      </c>
      <c r="C54" t="s">
        <v>1965</v>
      </c>
      <c r="D54" t="s">
        <v>741</v>
      </c>
      <c r="E54" t="s">
        <v>901</v>
      </c>
      <c r="F54" t="s">
        <v>540</v>
      </c>
      <c r="G54" s="8" t="s">
        <v>1966</v>
      </c>
      <c r="H54" s="8" t="s">
        <v>170</v>
      </c>
      <c r="I54" s="8" t="s">
        <v>2709</v>
      </c>
      <c r="J54" t="s">
        <v>94</v>
      </c>
      <c r="K54" t="s">
        <v>1967</v>
      </c>
      <c r="L54" s="22">
        <v>42914.640648148146</v>
      </c>
      <c r="M54" s="109">
        <f xml:space="preserve"> M53+(ckAwdTable[ILN]&lt;"M")</f>
        <v>33</v>
      </c>
      <c r="N54" t="s">
        <v>1989</v>
      </c>
      <c r="O54" t="s">
        <v>1271</v>
      </c>
      <c r="P54" s="15" t="str">
        <f>HYPERLINK("https://www.ejacket.nsf.gov/ej/showProposal.do?ID="&amp;ckAwdTable[[#This Row],[prop_id]],"eJ")</f>
        <v>eJ</v>
      </c>
      <c r="Q54" s="8" t="s">
        <v>742</v>
      </c>
      <c r="R54" t="s">
        <v>2226</v>
      </c>
      <c r="S54" t="s">
        <v>2227</v>
      </c>
      <c r="T54" t="s">
        <v>2228</v>
      </c>
      <c r="U54" s="8" t="s">
        <v>775</v>
      </c>
      <c r="V54" t="s">
        <v>257</v>
      </c>
      <c r="W54" s="113" t="str">
        <f>HYPERLINK("mailto:"&amp; ckAwdTable[[#This Row],[email]]&amp;"&amp;subject=Your NSF Proposal:  "&amp;ckAwdTable[[#This Row],[prop_id]], ckAwdTable[[#This Row],[email]])</f>
        <v>mitter@mit.edu</v>
      </c>
      <c r="X54" s="30">
        <v>42979</v>
      </c>
      <c r="Y54">
        <v>36</v>
      </c>
      <c r="AA54" s="21" t="s">
        <v>13</v>
      </c>
      <c r="AB54" s="21" t="s">
        <v>424</v>
      </c>
      <c r="AC54"/>
      <c r="AD54" s="21" t="s">
        <v>13</v>
      </c>
      <c r="AE54" s="21" t="s">
        <v>2710</v>
      </c>
      <c r="AF54" s="124">
        <v>450000</v>
      </c>
      <c r="AG54" s="21">
        <v>0</v>
      </c>
      <c r="AH54" s="1">
        <v>450000</v>
      </c>
      <c r="AI54" s="1"/>
      <c r="AJ54" s="1">
        <v>12000</v>
      </c>
      <c r="AK54" s="1">
        <v>134870</v>
      </c>
      <c r="AM54" s="21"/>
      <c r="AN54" s="21">
        <v>3</v>
      </c>
      <c r="AO54" s="21">
        <v>3</v>
      </c>
      <c r="AP54" s="21"/>
      <c r="AQ54" s="21"/>
      <c r="AR54" s="8" t="s">
        <v>1971</v>
      </c>
      <c r="AS54" s="21" t="s">
        <v>1989</v>
      </c>
      <c r="AT54" s="21" t="str">
        <f>IFERROR(IF(FIND("?",ckAwdTable[abst_narr_txt]),SummarizeQuestMarks(ckAwdTable[abst_narr_txt]),""),"")</f>
        <v/>
      </c>
      <c r="AU54" s="21"/>
      <c r="AV54" t="s">
        <v>2224</v>
      </c>
      <c r="AW54" t="b">
        <f>AND(ckAwdTable[[#This Row],[ILN]]&gt;"M", SUBSTITUTE(ckAwdTable[[#This Row],[prop_titl_txt]]," ","")&lt;&gt;SUBSTITUTE(AV53," ",""))</f>
        <v>0</v>
      </c>
      <c r="AX54" s="8" t="s">
        <v>2229</v>
      </c>
    </row>
    <row r="55" spans="1:50">
      <c r="A55" s="30">
        <v>42955.702997685185</v>
      </c>
      <c r="B55" s="30">
        <v>42809.665972222225</v>
      </c>
      <c r="C55" t="s">
        <v>1965</v>
      </c>
      <c r="D55" t="s">
        <v>741</v>
      </c>
      <c r="E55" t="s">
        <v>901</v>
      </c>
      <c r="F55" t="s">
        <v>540</v>
      </c>
      <c r="G55" s="8" t="s">
        <v>1966</v>
      </c>
      <c r="H55" s="8" t="s">
        <v>170</v>
      </c>
      <c r="I55" s="8" t="s">
        <v>2709</v>
      </c>
      <c r="J55" t="s">
        <v>94</v>
      </c>
      <c r="K55" t="s">
        <v>1967</v>
      </c>
      <c r="L55" s="22">
        <v>42954.60597222222</v>
      </c>
      <c r="M55" s="109">
        <f xml:space="preserve"> M54+(ckAwdTable[ILN]&lt;"M")</f>
        <v>34</v>
      </c>
      <c r="N55" t="s">
        <v>96</v>
      </c>
      <c r="O55" t="s">
        <v>1278</v>
      </c>
      <c r="P55" s="15" t="str">
        <f>HYPERLINK("https://www.ejacket.nsf.gov/ej/showProposal.do?ID="&amp;ckAwdTable[[#This Row],[prop_id]],"eJ")</f>
        <v>eJ</v>
      </c>
      <c r="Q55" s="8" t="s">
        <v>742</v>
      </c>
      <c r="R55" t="s">
        <v>1278</v>
      </c>
      <c r="S55" t="s">
        <v>1279</v>
      </c>
      <c r="T55" t="s">
        <v>798</v>
      </c>
      <c r="U55" s="8" t="s">
        <v>2230</v>
      </c>
      <c r="V55" t="s">
        <v>120</v>
      </c>
      <c r="W55" s="113" t="str">
        <f>HYPERLINK("mailto:"&amp; ckAwdTable[[#This Row],[email]]&amp;"&amp;subject=Your NSF Proposal:  "&amp;ckAwdTable[[#This Row],[prop_id]], ckAwdTable[[#This Row],[email]])</f>
        <v>andersonpe2@cofc.edu</v>
      </c>
      <c r="X55" s="30">
        <v>43070</v>
      </c>
      <c r="Y55">
        <v>36</v>
      </c>
      <c r="AA55" s="21" t="s">
        <v>13</v>
      </c>
      <c r="AB55" s="21" t="s">
        <v>424</v>
      </c>
      <c r="AC55"/>
      <c r="AD55" s="21" t="s">
        <v>13</v>
      </c>
      <c r="AE55" s="21" t="s">
        <v>2710</v>
      </c>
      <c r="AF55" s="124">
        <v>1500000</v>
      </c>
      <c r="AG55" s="21">
        <v>0</v>
      </c>
      <c r="AH55" s="1">
        <v>1500000</v>
      </c>
      <c r="AI55" s="1"/>
      <c r="AJ55" s="1">
        <v>2490</v>
      </c>
      <c r="AL55" s="1">
        <v>54825</v>
      </c>
      <c r="AM55" s="21"/>
      <c r="AN55" s="21">
        <v>15</v>
      </c>
      <c r="AO55" s="21">
        <v>24</v>
      </c>
      <c r="AP55" s="21">
        <v>27.03</v>
      </c>
      <c r="AQ55" s="21"/>
      <c r="AR55" s="8" t="s">
        <v>1971</v>
      </c>
      <c r="AS55" s="21" t="s">
        <v>1989</v>
      </c>
      <c r="AT55" s="21" t="str">
        <f>IFERROR(IF(FIND("?",ckAwdTable[abst_narr_txt]),SummarizeQuestMarks(ckAwdTable[abst_narr_txt]),""),"")</f>
        <v/>
      </c>
      <c r="AU55" s="21"/>
      <c r="AV55" t="s">
        <v>2232</v>
      </c>
      <c r="AW55" t="b">
        <f>AND(ckAwdTable[[#This Row],[ILN]]&gt;"M", SUBSTITUTE(ckAwdTable[[#This Row],[prop_titl_txt]]," ","")&lt;&gt;SUBSTITUTE(AV54," ",""))</f>
        <v>0</v>
      </c>
      <c r="AX55" s="8" t="s">
        <v>2233</v>
      </c>
    </row>
    <row r="56" spans="1:50">
      <c r="A56" s="30">
        <v>42955.660231481481</v>
      </c>
      <c r="B56" s="30">
        <v>42809.670138888891</v>
      </c>
      <c r="C56" t="s">
        <v>1965</v>
      </c>
      <c r="D56" t="s">
        <v>741</v>
      </c>
      <c r="E56" t="s">
        <v>901</v>
      </c>
      <c r="F56" t="s">
        <v>948</v>
      </c>
      <c r="G56" s="8" t="s">
        <v>1966</v>
      </c>
      <c r="H56" s="8" t="s">
        <v>170</v>
      </c>
      <c r="I56" s="8" t="s">
        <v>2709</v>
      </c>
      <c r="J56" t="s">
        <v>94</v>
      </c>
      <c r="K56" t="s">
        <v>1967</v>
      </c>
      <c r="L56" s="22">
        <v>42955.477002314816</v>
      </c>
      <c r="M56" s="109">
        <f xml:space="preserve"> M55+(ckAwdTable[ILN]&lt;"M")</f>
        <v>35</v>
      </c>
      <c r="N56" t="s">
        <v>96</v>
      </c>
      <c r="O56" t="s">
        <v>1285</v>
      </c>
      <c r="P56" s="15" t="str">
        <f>HYPERLINK("https://www.ejacket.nsf.gov/ej/showProposal.do?ID="&amp;ckAwdTable[[#This Row],[prop_id]],"eJ")</f>
        <v>eJ</v>
      </c>
      <c r="Q56" s="8" t="s">
        <v>742</v>
      </c>
      <c r="R56" t="s">
        <v>1285</v>
      </c>
      <c r="S56" t="s">
        <v>1286</v>
      </c>
      <c r="T56" t="s">
        <v>2234</v>
      </c>
      <c r="U56" s="8" t="s">
        <v>2235</v>
      </c>
      <c r="V56" t="s">
        <v>256</v>
      </c>
      <c r="W56" s="113" t="str">
        <f>HYPERLINK("mailto:"&amp; ckAwdTable[[#This Row],[email]]&amp;"&amp;subject=Your NSF Proposal:  "&amp;ckAwdTable[[#This Row],[prop_id]], ckAwdTable[[#This Row],[email]])</f>
        <v>jiang@wald.ucdavis.edu</v>
      </c>
      <c r="X56" s="30">
        <v>43009</v>
      </c>
      <c r="Y56">
        <v>36</v>
      </c>
      <c r="AA56" s="21" t="s">
        <v>13</v>
      </c>
      <c r="AB56" s="21" t="s">
        <v>424</v>
      </c>
      <c r="AC56"/>
      <c r="AD56" s="21" t="s">
        <v>13</v>
      </c>
      <c r="AE56" s="21" t="s">
        <v>2710</v>
      </c>
      <c r="AF56" s="124">
        <v>1498852</v>
      </c>
      <c r="AG56" s="21">
        <v>0</v>
      </c>
      <c r="AH56" s="1">
        <v>1498852</v>
      </c>
      <c r="AI56" s="1">
        <v>269720</v>
      </c>
      <c r="AJ56" s="1">
        <v>36000</v>
      </c>
      <c r="AM56" s="21">
        <v>9</v>
      </c>
      <c r="AN56" s="21">
        <v>9</v>
      </c>
      <c r="AO56" s="21">
        <v>12</v>
      </c>
      <c r="AP56" s="21"/>
      <c r="AQ56" s="21"/>
      <c r="AR56" s="8" t="s">
        <v>1971</v>
      </c>
      <c r="AS56" s="21" t="s">
        <v>1989</v>
      </c>
      <c r="AT56" s="21" t="str">
        <f>IFERROR(IF(FIND("?",ckAwdTable[abst_narr_txt]),SummarizeQuestMarks(ckAwdTable[abst_narr_txt]),""),"")</f>
        <v/>
      </c>
      <c r="AU56" s="21"/>
      <c r="AV56" t="s">
        <v>2237</v>
      </c>
      <c r="AW56" t="b">
        <f>AND(ckAwdTable[[#This Row],[ILN]]&gt;"M", SUBSTITUTE(ckAwdTable[[#This Row],[prop_titl_txt]]," ","")&lt;&gt;SUBSTITUTE(AV55," ",""))</f>
        <v>0</v>
      </c>
      <c r="AX56" s="8" t="s">
        <v>2238</v>
      </c>
    </row>
    <row r="57" spans="1:50">
      <c r="A57" s="30">
        <v>42955.663055555553</v>
      </c>
      <c r="B57" s="30">
        <v>42809.672222222223</v>
      </c>
      <c r="C57" t="s">
        <v>1965</v>
      </c>
      <c r="D57" t="s">
        <v>741</v>
      </c>
      <c r="E57" t="s">
        <v>901</v>
      </c>
      <c r="F57" t="s">
        <v>948</v>
      </c>
      <c r="G57" s="8" t="s">
        <v>1966</v>
      </c>
      <c r="H57" s="8" t="s">
        <v>170</v>
      </c>
      <c r="I57" s="8" t="s">
        <v>2709</v>
      </c>
      <c r="J57" t="s">
        <v>94</v>
      </c>
      <c r="K57" t="s">
        <v>1967</v>
      </c>
      <c r="L57" s="22">
        <v>42955.521805555552</v>
      </c>
      <c r="M57" s="109">
        <f xml:space="preserve"> M56+(ckAwdTable[ILN]&lt;"M")</f>
        <v>36</v>
      </c>
      <c r="N57" t="s">
        <v>96</v>
      </c>
      <c r="O57" t="s">
        <v>1292</v>
      </c>
      <c r="P57" s="15" t="str">
        <f>HYPERLINK("https://www.ejacket.nsf.gov/ej/showProposal.do?ID="&amp;ckAwdTable[[#This Row],[prop_id]],"eJ")</f>
        <v>eJ</v>
      </c>
      <c r="Q57" s="8" t="s">
        <v>742</v>
      </c>
      <c r="R57" t="s">
        <v>1292</v>
      </c>
      <c r="S57" t="s">
        <v>1293</v>
      </c>
      <c r="T57" t="s">
        <v>2239</v>
      </c>
      <c r="U57" s="8" t="s">
        <v>339</v>
      </c>
      <c r="V57" t="s">
        <v>340</v>
      </c>
      <c r="W57" s="113" t="str">
        <f>HYPERLINK("mailto:"&amp; ckAwdTable[[#This Row],[email]]&amp;"&amp;subject=Your NSF Proposal:  "&amp;ckAwdTable[[#This Row],[prop_id]], ckAwdTable[[#This Row],[email]])</f>
        <v>hirani@illinois.edu</v>
      </c>
      <c r="X57" s="30">
        <v>42994</v>
      </c>
      <c r="Y57">
        <v>36</v>
      </c>
      <c r="AA57" s="21" t="s">
        <v>13</v>
      </c>
      <c r="AB57" s="21" t="s">
        <v>424</v>
      </c>
      <c r="AC57"/>
      <c r="AD57" s="21" t="s">
        <v>13</v>
      </c>
      <c r="AE57" s="21" t="s">
        <v>2721</v>
      </c>
      <c r="AF57" s="124">
        <v>1500000</v>
      </c>
      <c r="AG57" s="21">
        <v>1</v>
      </c>
      <c r="AH57" s="1">
        <v>1500000</v>
      </c>
      <c r="AI57" s="1"/>
      <c r="AJ57" s="1">
        <v>54000</v>
      </c>
      <c r="AL57" s="1">
        <v>105000</v>
      </c>
      <c r="AM57" s="21">
        <v>15</v>
      </c>
      <c r="AN57" s="21">
        <v>30</v>
      </c>
      <c r="AO57" s="21">
        <v>12.75</v>
      </c>
      <c r="AP57" s="21"/>
      <c r="AQ57" s="21"/>
      <c r="AR57" s="8" t="s">
        <v>1971</v>
      </c>
      <c r="AS57" s="21" t="s">
        <v>1989</v>
      </c>
      <c r="AT57" s="21" t="str">
        <f>IFERROR(IF(FIND("?",ckAwdTable[abst_narr_txt]),SummarizeQuestMarks(ckAwdTable[abst_narr_txt]),""),"")</f>
        <v/>
      </c>
      <c r="AU57" s="21"/>
      <c r="AV57" t="s">
        <v>2241</v>
      </c>
      <c r="AW57" t="b">
        <f>AND(ckAwdTable[[#This Row],[ILN]]&gt;"M", SUBSTITUTE(ckAwdTable[[#This Row],[prop_titl_txt]]," ","")&lt;&gt;SUBSTITUTE(AV56," ",""))</f>
        <v>0</v>
      </c>
      <c r="AX57" s="8" t="s">
        <v>2242</v>
      </c>
    </row>
    <row r="58" spans="1:50">
      <c r="A58" s="30">
        <v>42955.67796296296</v>
      </c>
      <c r="B58" s="30">
        <v>42809.673611111109</v>
      </c>
      <c r="C58" t="s">
        <v>1965</v>
      </c>
      <c r="D58" t="s">
        <v>741</v>
      </c>
      <c r="E58" t="s">
        <v>901</v>
      </c>
      <c r="F58" t="s">
        <v>948</v>
      </c>
      <c r="G58" s="8" t="s">
        <v>1966</v>
      </c>
      <c r="H58" s="8" t="s">
        <v>170</v>
      </c>
      <c r="I58" s="8" t="s">
        <v>2709</v>
      </c>
      <c r="J58" t="s">
        <v>94</v>
      </c>
      <c r="K58" t="s">
        <v>1967</v>
      </c>
      <c r="L58" s="22">
        <v>42955.557638888888</v>
      </c>
      <c r="M58" s="109">
        <f xml:space="preserve"> M57+(ckAwdTable[ILN]&lt;"M")</f>
        <v>37</v>
      </c>
      <c r="N58" t="s">
        <v>96</v>
      </c>
      <c r="O58" t="s">
        <v>1300</v>
      </c>
      <c r="P58" s="15" t="str">
        <f>HYPERLINK("https://www.ejacket.nsf.gov/ej/showProposal.do?ID="&amp;ckAwdTable[[#This Row],[prop_id]],"eJ")</f>
        <v>eJ</v>
      </c>
      <c r="Q58" s="8" t="s">
        <v>742</v>
      </c>
      <c r="R58" t="s">
        <v>1300</v>
      </c>
      <c r="S58" t="s">
        <v>1301</v>
      </c>
      <c r="T58" t="s">
        <v>2243</v>
      </c>
      <c r="U58" s="8" t="s">
        <v>833</v>
      </c>
      <c r="V58" t="s">
        <v>345</v>
      </c>
      <c r="W58" s="113" t="str">
        <f>HYPERLINK("mailto:"&amp; ckAwdTable[[#This Row],[email]]&amp;"&amp;subject=Your NSF Proposal:  "&amp;ckAwdTable[[#This Row],[prop_id]], ckAwdTable[[#This Row],[email]])</f>
        <v>mmcgee@smu.edu</v>
      </c>
      <c r="X58" s="30">
        <v>42979</v>
      </c>
      <c r="Y58">
        <v>36</v>
      </c>
      <c r="AA58" s="21" t="s">
        <v>13</v>
      </c>
      <c r="AB58" s="21" t="s">
        <v>424</v>
      </c>
      <c r="AC58"/>
      <c r="AD58" s="21" t="s">
        <v>13</v>
      </c>
      <c r="AF58" s="124">
        <v>1478234</v>
      </c>
      <c r="AG58" s="21">
        <v>0</v>
      </c>
      <c r="AH58" s="1">
        <v>1478234</v>
      </c>
      <c r="AI58" s="1"/>
      <c r="AJ58" s="1"/>
      <c r="AK58" s="1">
        <v>183624</v>
      </c>
      <c r="AM58" s="21">
        <v>13</v>
      </c>
      <c r="AN58" s="21">
        <v>18</v>
      </c>
      <c r="AO58" s="21">
        <v>17</v>
      </c>
      <c r="AP58" s="21">
        <v>5.62</v>
      </c>
      <c r="AQ58" s="21"/>
      <c r="AR58" s="8" t="s">
        <v>1971</v>
      </c>
      <c r="AS58" s="21" t="s">
        <v>1989</v>
      </c>
      <c r="AT58" s="21" t="str">
        <f>IFERROR(IF(FIND("?",ckAwdTable[abst_narr_txt]),SummarizeQuestMarks(ckAwdTable[abst_narr_txt]),""),"")</f>
        <v/>
      </c>
      <c r="AU58" s="21"/>
      <c r="AV58" t="s">
        <v>2244</v>
      </c>
      <c r="AW58" t="b">
        <f>AND(ckAwdTable[[#This Row],[ILN]]&gt;"M", SUBSTITUTE(ckAwdTable[[#This Row],[prop_titl_txt]]," ","")&lt;&gt;SUBSTITUTE(AV57," ",""))</f>
        <v>0</v>
      </c>
      <c r="AX58" s="8" t="s">
        <v>2245</v>
      </c>
    </row>
    <row r="59" spans="1:50">
      <c r="A59" s="30">
        <v>42957.732754629629</v>
      </c>
      <c r="B59" s="30">
        <v>42809.682638888888</v>
      </c>
      <c r="C59" t="s">
        <v>1965</v>
      </c>
      <c r="D59" t="s">
        <v>741</v>
      </c>
      <c r="E59" t="s">
        <v>901</v>
      </c>
      <c r="F59" t="s">
        <v>948</v>
      </c>
      <c r="G59" s="8" t="s">
        <v>1966</v>
      </c>
      <c r="H59" s="8" t="s">
        <v>170</v>
      </c>
      <c r="I59" s="8" t="s">
        <v>2709</v>
      </c>
      <c r="J59" t="s">
        <v>94</v>
      </c>
      <c r="K59" t="s">
        <v>1967</v>
      </c>
      <c r="L59" s="22">
        <v>42957.365543981483</v>
      </c>
      <c r="M59" s="109">
        <f xml:space="preserve"> M58+(ckAwdTable[ILN]&lt;"M")</f>
        <v>38</v>
      </c>
      <c r="N59" t="s">
        <v>1981</v>
      </c>
      <c r="O59" t="s">
        <v>1307</v>
      </c>
      <c r="P59" s="15" t="str">
        <f>HYPERLINK("https://www.ejacket.nsf.gov/ej/showProposal.do?ID="&amp;ckAwdTable[[#This Row],[prop_id]],"eJ")</f>
        <v>eJ</v>
      </c>
      <c r="Q59" s="8" t="s">
        <v>742</v>
      </c>
      <c r="R59" t="s">
        <v>1307</v>
      </c>
      <c r="S59" t="s">
        <v>1308</v>
      </c>
      <c r="T59" t="s">
        <v>2246</v>
      </c>
      <c r="U59" s="8" t="s">
        <v>2247</v>
      </c>
      <c r="V59" t="s">
        <v>345</v>
      </c>
      <c r="W59" s="113" t="str">
        <f>HYPERLINK("mailto:"&amp; ckAwdTable[[#This Row],[email]]&amp;"&amp;subject=Your NSF Proposal:  "&amp;ckAwdTable[[#This Row],[prop_id]], ckAwdTable[[#This Row],[email]])</f>
        <v>vardi@rice.edu</v>
      </c>
      <c r="X59" s="30">
        <v>43009</v>
      </c>
      <c r="Y59">
        <v>36</v>
      </c>
      <c r="AA59" s="21" t="s">
        <v>13</v>
      </c>
      <c r="AB59" s="21" t="s">
        <v>424</v>
      </c>
      <c r="AC59"/>
      <c r="AD59" s="21" t="s">
        <v>13</v>
      </c>
      <c r="AF59" s="124">
        <v>600000</v>
      </c>
      <c r="AG59" s="21">
        <v>0</v>
      </c>
      <c r="AH59" s="1">
        <v>600000</v>
      </c>
      <c r="AI59" s="1"/>
      <c r="AJ59" s="1"/>
      <c r="AK59" s="1">
        <v>92727</v>
      </c>
      <c r="AM59" s="21"/>
      <c r="AN59" s="21">
        <v>15</v>
      </c>
      <c r="AO59" s="21">
        <v>0.87</v>
      </c>
      <c r="AP59" s="21"/>
      <c r="AQ59" s="21"/>
      <c r="AR59" s="8" t="s">
        <v>1971</v>
      </c>
      <c r="AS59" s="21" t="s">
        <v>1989</v>
      </c>
      <c r="AT59" s="21" t="str">
        <f>IFERROR(IF(FIND("?",ckAwdTable[abst_narr_txt]),SummarizeQuestMarks(ckAwdTable[abst_narr_txt]),""),"")</f>
        <v/>
      </c>
      <c r="AU59" s="21"/>
      <c r="AV59" t="s">
        <v>2249</v>
      </c>
      <c r="AW59" t="b">
        <f>AND(ckAwdTable[[#This Row],[ILN]]&gt;"M", SUBSTITUTE(ckAwdTable[[#This Row],[prop_titl_txt]]," ","")&lt;&gt;SUBSTITUTE(AV58," ",""))</f>
        <v>0</v>
      </c>
      <c r="AX59" s="8" t="s">
        <v>2250</v>
      </c>
    </row>
    <row r="60" spans="1:50">
      <c r="A60" s="30">
        <v>42957.732754629629</v>
      </c>
      <c r="B60" s="30">
        <v>42809.529861111114</v>
      </c>
      <c r="C60" t="s">
        <v>1965</v>
      </c>
      <c r="D60" t="s">
        <v>741</v>
      </c>
      <c r="E60" t="s">
        <v>901</v>
      </c>
      <c r="F60" t="s">
        <v>948</v>
      </c>
      <c r="G60" s="8" t="s">
        <v>1966</v>
      </c>
      <c r="H60" s="8" t="s">
        <v>170</v>
      </c>
      <c r="I60" s="8" t="s">
        <v>2709</v>
      </c>
      <c r="J60" t="s">
        <v>94</v>
      </c>
      <c r="K60" t="s">
        <v>1967</v>
      </c>
      <c r="L60" s="22">
        <v>42957.365543981483</v>
      </c>
      <c r="M60" s="109">
        <f xml:space="preserve"> M59+(ckAwdTable[ILN]&lt;"M")</f>
        <v>38</v>
      </c>
      <c r="N60" t="s">
        <v>1989</v>
      </c>
      <c r="O60" t="s">
        <v>1307</v>
      </c>
      <c r="P60" s="15" t="str">
        <f>HYPERLINK("https://www.ejacket.nsf.gov/ej/showProposal.do?ID="&amp;ckAwdTable[[#This Row],[prop_id]],"eJ")</f>
        <v>eJ</v>
      </c>
      <c r="Q60" s="8" t="s">
        <v>742</v>
      </c>
      <c r="R60" t="s">
        <v>1311</v>
      </c>
      <c r="S60" t="s">
        <v>1310</v>
      </c>
      <c r="T60" t="s">
        <v>2251</v>
      </c>
      <c r="U60" s="8" t="s">
        <v>2252</v>
      </c>
      <c r="V60" t="s">
        <v>345</v>
      </c>
      <c r="W60" s="113" t="str">
        <f>HYPERLINK("mailto:"&amp; ckAwdTable[[#This Row],[email]]&amp;"&amp;subject=Your NSF Proposal:  "&amp;ckAwdTable[[#This Row],[prop_id]], ckAwdTable[[#This Row],[email]])</f>
        <v>bmallick@stat.tamu.edu</v>
      </c>
      <c r="X60" s="30">
        <v>43009</v>
      </c>
      <c r="Y60">
        <v>36</v>
      </c>
      <c r="AA60" s="21" t="s">
        <v>13</v>
      </c>
      <c r="AB60" s="21" t="s">
        <v>424</v>
      </c>
      <c r="AC60"/>
      <c r="AD60" s="21" t="s">
        <v>13</v>
      </c>
      <c r="AF60" s="124">
        <v>450000</v>
      </c>
      <c r="AG60" s="21">
        <v>0</v>
      </c>
      <c r="AH60" s="1">
        <v>450000</v>
      </c>
      <c r="AI60" s="1"/>
      <c r="AJ60" s="1"/>
      <c r="AK60" s="1">
        <v>55359</v>
      </c>
      <c r="AM60" s="21"/>
      <c r="AN60" s="21">
        <v>15</v>
      </c>
      <c r="AO60" s="21"/>
      <c r="AP60" s="21"/>
      <c r="AQ60" s="21">
        <v>1.8</v>
      </c>
      <c r="AR60" s="8" t="s">
        <v>1971</v>
      </c>
      <c r="AS60" s="21" t="s">
        <v>1989</v>
      </c>
      <c r="AT60" s="21" t="str">
        <f>IFERROR(IF(FIND("?",ckAwdTable[abst_narr_txt]),SummarizeQuestMarks(ckAwdTable[abst_narr_txt]),""),"")</f>
        <v/>
      </c>
      <c r="AU60" s="21"/>
      <c r="AV60" t="s">
        <v>2249</v>
      </c>
      <c r="AW60" t="b">
        <f>AND(ckAwdTable[[#This Row],[ILN]]&gt;"M", SUBSTITUTE(ckAwdTable[[#This Row],[prop_titl_txt]]," ","")&lt;&gt;SUBSTITUTE(AV59," ",""))</f>
        <v>0</v>
      </c>
      <c r="AX60" s="8" t="s">
        <v>2253</v>
      </c>
    </row>
    <row r="61" spans="1:50">
      <c r="A61" s="30">
        <v>42957.732754629629</v>
      </c>
      <c r="B61" s="30">
        <v>42809.67291666667</v>
      </c>
      <c r="C61" t="s">
        <v>1965</v>
      </c>
      <c r="D61" t="s">
        <v>741</v>
      </c>
      <c r="E61" t="s">
        <v>901</v>
      </c>
      <c r="F61" t="s">
        <v>948</v>
      </c>
      <c r="G61" s="8" t="s">
        <v>1966</v>
      </c>
      <c r="H61" s="8" t="s">
        <v>170</v>
      </c>
      <c r="I61" s="8" t="s">
        <v>2709</v>
      </c>
      <c r="J61" t="s">
        <v>94</v>
      </c>
      <c r="K61" t="s">
        <v>1967</v>
      </c>
      <c r="L61" s="22">
        <v>42957.365543981483</v>
      </c>
      <c r="M61" s="109">
        <f xml:space="preserve"> M60+(ckAwdTable[ILN]&lt;"M")</f>
        <v>38</v>
      </c>
      <c r="N61" t="s">
        <v>1989</v>
      </c>
      <c r="O61" t="s">
        <v>1307</v>
      </c>
      <c r="P61" s="15" t="str">
        <f>HYPERLINK("https://www.ejacket.nsf.gov/ej/showProposal.do?ID="&amp;ckAwdTable[[#This Row],[prop_id]],"eJ")</f>
        <v>eJ</v>
      </c>
      <c r="Q61" s="8" t="s">
        <v>742</v>
      </c>
      <c r="R61" t="s">
        <v>1314</v>
      </c>
      <c r="S61" t="s">
        <v>1313</v>
      </c>
      <c r="T61" t="s">
        <v>2254</v>
      </c>
      <c r="U61" s="8" t="s">
        <v>799</v>
      </c>
      <c r="V61" t="s">
        <v>345</v>
      </c>
      <c r="W61" s="113" t="str">
        <f>HYPERLINK("mailto:"&amp; ckAwdTable[[#This Row],[email]]&amp;"&amp;subject=Your NSF Proposal:  "&amp;ckAwdTable[[#This Row],[prop_id]], ckAwdTable[[#This Row],[email]])</f>
        <v>inderjit@cs.utexas.edu</v>
      </c>
      <c r="X61" s="30">
        <v>43009</v>
      </c>
      <c r="Y61">
        <v>36</v>
      </c>
      <c r="AA61" s="21" t="s">
        <v>13</v>
      </c>
      <c r="AB61" s="21" t="s">
        <v>424</v>
      </c>
      <c r="AC61"/>
      <c r="AD61" s="21" t="s">
        <v>13</v>
      </c>
      <c r="AF61" s="124">
        <v>450000</v>
      </c>
      <c r="AG61" s="21">
        <v>0</v>
      </c>
      <c r="AH61" s="1">
        <v>450000</v>
      </c>
      <c r="AI61" s="1"/>
      <c r="AJ61" s="1"/>
      <c r="AK61" s="1">
        <v>122727</v>
      </c>
      <c r="AM61" s="21"/>
      <c r="AN61" s="21">
        <v>15</v>
      </c>
      <c r="AO61" s="21">
        <v>1.8</v>
      </c>
      <c r="AP61" s="21"/>
      <c r="AQ61" s="21"/>
      <c r="AR61" s="8" t="s">
        <v>1971</v>
      </c>
      <c r="AS61" s="21" t="s">
        <v>1989</v>
      </c>
      <c r="AT61" s="21" t="str">
        <f>IFERROR(IF(FIND("?",ckAwdTable[abst_narr_txt]),SummarizeQuestMarks(ckAwdTable[abst_narr_txt]),""),"")</f>
        <v/>
      </c>
      <c r="AU61" s="21"/>
      <c r="AV61" t="s">
        <v>2249</v>
      </c>
      <c r="AW61" t="b">
        <f>AND(ckAwdTable[[#This Row],[ILN]]&gt;"M", SUBSTITUTE(ckAwdTable[[#This Row],[prop_titl_txt]]," ","")&lt;&gt;SUBSTITUTE(AV60," ",""))</f>
        <v>0</v>
      </c>
      <c r="AX61" s="8" t="s">
        <v>2255</v>
      </c>
    </row>
    <row r="62" spans="1:50">
      <c r="A62" s="30">
        <v>42933.413645833331</v>
      </c>
      <c r="B62" s="30">
        <v>42809.683333333334</v>
      </c>
      <c r="C62" t="s">
        <v>1965</v>
      </c>
      <c r="D62" t="s">
        <v>741</v>
      </c>
      <c r="E62" t="s">
        <v>901</v>
      </c>
      <c r="F62" t="s">
        <v>543</v>
      </c>
      <c r="G62" s="8" t="s">
        <v>1974</v>
      </c>
      <c r="H62" s="8" t="s">
        <v>170</v>
      </c>
      <c r="I62" s="8" t="s">
        <v>2709</v>
      </c>
      <c r="J62" t="s">
        <v>94</v>
      </c>
      <c r="K62" t="s">
        <v>1967</v>
      </c>
      <c r="L62" s="22">
        <v>42929.446134259262</v>
      </c>
      <c r="M62" s="109">
        <f xml:space="preserve"> M61+(ckAwdTable[ILN]&lt;"M")</f>
        <v>39</v>
      </c>
      <c r="N62" t="s">
        <v>96</v>
      </c>
      <c r="O62" t="s">
        <v>1320</v>
      </c>
      <c r="P62" s="15" t="str">
        <f>HYPERLINK("https://www.ejacket.nsf.gov/ej/showProposal.do?ID="&amp;ckAwdTable[[#This Row],[prop_id]],"eJ")</f>
        <v>eJ</v>
      </c>
      <c r="Q62" s="8" t="s">
        <v>742</v>
      </c>
      <c r="R62" t="s">
        <v>1320</v>
      </c>
      <c r="S62" t="s">
        <v>1321</v>
      </c>
      <c r="T62" t="s">
        <v>2256</v>
      </c>
      <c r="U62" s="8" t="s">
        <v>2257</v>
      </c>
      <c r="V62" t="s">
        <v>258</v>
      </c>
      <c r="W62" s="113" t="str">
        <f>HYPERLINK("mailto:"&amp; ckAwdTable[[#This Row],[email]]&amp;"&amp;subject=Your NSF Proposal:  "&amp;ckAwdTable[[#This Row],[prop_id]], ckAwdTable[[#This Row],[email]])</f>
        <v>kilianweinberger@cornell.edu</v>
      </c>
      <c r="X62" s="30">
        <v>43009</v>
      </c>
      <c r="Y62">
        <v>36</v>
      </c>
      <c r="AA62" s="21" t="s">
        <v>13</v>
      </c>
      <c r="AB62" s="21" t="s">
        <v>424</v>
      </c>
      <c r="AC62"/>
      <c r="AD62" s="21" t="s">
        <v>13</v>
      </c>
      <c r="AF62" s="124">
        <v>1497238</v>
      </c>
      <c r="AG62" s="21">
        <v>1</v>
      </c>
      <c r="AH62" s="1">
        <v>1496655</v>
      </c>
      <c r="AI62" s="1"/>
      <c r="AJ62" s="1"/>
      <c r="AK62" s="1">
        <v>600680</v>
      </c>
      <c r="AL62" s="1">
        <v>24000</v>
      </c>
      <c r="AM62" s="21"/>
      <c r="AN62" s="21"/>
      <c r="AO62" s="21"/>
      <c r="AP62" s="21"/>
      <c r="AQ62" s="21"/>
      <c r="AR62" s="8" t="s">
        <v>1977</v>
      </c>
      <c r="AS62" s="21" t="s">
        <v>1989</v>
      </c>
      <c r="AT62" s="21" t="str">
        <f>IFERROR(IF(FIND("?",ckAwdTable[abst_narr_txt]),SummarizeQuestMarks(ckAwdTable[abst_narr_txt]),""),"")</f>
        <v/>
      </c>
      <c r="AU62" s="21" t="s">
        <v>1324</v>
      </c>
      <c r="AV62" t="s">
        <v>2259</v>
      </c>
      <c r="AW62" t="b">
        <f>AND(ckAwdTable[[#This Row],[ILN]]&gt;"M", SUBSTITUTE(ckAwdTable[[#This Row],[prop_titl_txt]]," ","")&lt;&gt;SUBSTITUTE(AV61," ",""))</f>
        <v>0</v>
      </c>
      <c r="AX62" s="8" t="s">
        <v>2260</v>
      </c>
    </row>
    <row r="63" spans="1:50">
      <c r="A63" s="30">
        <v>42934.469247685185</v>
      </c>
      <c r="B63" s="30">
        <v>42809.688888888886</v>
      </c>
      <c r="C63" t="s">
        <v>1965</v>
      </c>
      <c r="D63" t="s">
        <v>741</v>
      </c>
      <c r="E63" t="s">
        <v>901</v>
      </c>
      <c r="F63" t="s">
        <v>540</v>
      </c>
      <c r="G63" s="8" t="s">
        <v>1966</v>
      </c>
      <c r="H63" s="8" t="s">
        <v>170</v>
      </c>
      <c r="I63" s="8" t="s">
        <v>2709</v>
      </c>
      <c r="J63" t="s">
        <v>94</v>
      </c>
      <c r="K63" t="s">
        <v>1967</v>
      </c>
      <c r="L63" s="22">
        <v>42920.120162037034</v>
      </c>
      <c r="M63" s="109">
        <f xml:space="preserve"> M62+(ckAwdTable[ILN]&lt;"M")</f>
        <v>40</v>
      </c>
      <c r="N63" t="s">
        <v>96</v>
      </c>
      <c r="O63" t="s">
        <v>1331</v>
      </c>
      <c r="P63" s="15" t="str">
        <f>HYPERLINK("https://www.ejacket.nsf.gov/ej/showProposal.do?ID="&amp;ckAwdTable[[#This Row],[prop_id]],"eJ")</f>
        <v>eJ</v>
      </c>
      <c r="Q63" s="8" t="s">
        <v>742</v>
      </c>
      <c r="R63" t="s">
        <v>1331</v>
      </c>
      <c r="S63" t="s">
        <v>1332</v>
      </c>
      <c r="T63" t="s">
        <v>2261</v>
      </c>
      <c r="U63" s="8" t="s">
        <v>2222</v>
      </c>
      <c r="V63" t="s">
        <v>258</v>
      </c>
      <c r="W63" s="113" t="str">
        <f>HYPERLINK("mailto:"&amp; ckAwdTable[[#This Row],[email]]&amp;"&amp;subject=Your NSF Proposal:  "&amp;ckAwdTable[[#This Row],[prop_id]], ckAwdTable[[#This Row],[email]])</f>
        <v>cfg3@nyu.edu</v>
      </c>
      <c r="X63" s="30">
        <v>42979</v>
      </c>
      <c r="Y63">
        <v>36</v>
      </c>
      <c r="AA63" s="21" t="s">
        <v>13</v>
      </c>
      <c r="AB63" s="21" t="s">
        <v>424</v>
      </c>
      <c r="AC63"/>
      <c r="AD63" s="21" t="s">
        <v>13</v>
      </c>
      <c r="AF63" s="124">
        <v>1473414</v>
      </c>
      <c r="AG63" s="21">
        <v>0</v>
      </c>
      <c r="AH63" s="1">
        <v>1473414</v>
      </c>
      <c r="AI63" s="1"/>
      <c r="AJ63" s="1"/>
      <c r="AK63" s="1">
        <v>299875</v>
      </c>
      <c r="AL63" s="1">
        <v>120000</v>
      </c>
      <c r="AM63" s="21">
        <v>6</v>
      </c>
      <c r="AN63" s="21">
        <v>12</v>
      </c>
      <c r="AO63" s="21">
        <v>10.68</v>
      </c>
      <c r="AP63" s="21"/>
      <c r="AQ63" s="21"/>
      <c r="AR63" s="8" t="s">
        <v>1971</v>
      </c>
      <c r="AS63" s="21" t="s">
        <v>1989</v>
      </c>
      <c r="AT63" s="21" t="str">
        <f>IFERROR(IF(FIND("?",ckAwdTable[abst_narr_txt]),SummarizeQuestMarks(ckAwdTable[abst_narr_txt]),""),"")</f>
        <v/>
      </c>
      <c r="AU63" s="21"/>
      <c r="AV63" t="s">
        <v>2262</v>
      </c>
      <c r="AW63" t="b">
        <f>AND(ckAwdTable[[#This Row],[ILN]]&gt;"M", SUBSTITUTE(ckAwdTable[[#This Row],[prop_titl_txt]]," ","")&lt;&gt;SUBSTITUTE(AV62," ",""))</f>
        <v>0</v>
      </c>
      <c r="AX63" s="8" t="s">
        <v>2263</v>
      </c>
    </row>
    <row r="64" spans="1:50">
      <c r="A64" s="30">
        <v>42955.710752314815</v>
      </c>
      <c r="B64" s="30">
        <v>42809.693749999999</v>
      </c>
      <c r="C64" t="s">
        <v>1965</v>
      </c>
      <c r="D64" t="s">
        <v>741</v>
      </c>
      <c r="E64" t="s">
        <v>901</v>
      </c>
      <c r="F64" t="s">
        <v>540</v>
      </c>
      <c r="G64" s="8" t="s">
        <v>1966</v>
      </c>
      <c r="H64" s="8" t="s">
        <v>170</v>
      </c>
      <c r="I64" s="8" t="s">
        <v>2709</v>
      </c>
      <c r="J64" t="s">
        <v>94</v>
      </c>
      <c r="K64" t="s">
        <v>1967</v>
      </c>
      <c r="L64" s="22">
        <v>42914.639224537037</v>
      </c>
      <c r="M64" s="109">
        <f xml:space="preserve"> M63+(ckAwdTable[ILN]&lt;"M")</f>
        <v>41</v>
      </c>
      <c r="N64" t="s">
        <v>96</v>
      </c>
      <c r="O64" t="s">
        <v>1339</v>
      </c>
      <c r="P64" s="15" t="str">
        <f>HYPERLINK("https://www.ejacket.nsf.gov/ej/showProposal.do?ID="&amp;ckAwdTable[[#This Row],[prop_id]],"eJ")</f>
        <v>eJ</v>
      </c>
      <c r="Q64" s="8" t="s">
        <v>742</v>
      </c>
      <c r="R64" t="s">
        <v>1339</v>
      </c>
      <c r="S64" t="s">
        <v>1340</v>
      </c>
      <c r="T64" t="s">
        <v>2100</v>
      </c>
      <c r="U64" s="8" t="s">
        <v>2032</v>
      </c>
      <c r="V64" t="s">
        <v>257</v>
      </c>
      <c r="W64" s="113" t="str">
        <f>HYPERLINK("mailto:"&amp; ckAwdTable[[#This Row],[email]]&amp;"&amp;subject=Your NSF Proposal:  "&amp;ckAwdTable[[#This Row],[prop_id]], ckAwdTable[[#This Row],[email]])</f>
        <v>mcgregor@cs.umass.edu</v>
      </c>
      <c r="X64" s="30">
        <v>42979</v>
      </c>
      <c r="Y64">
        <v>36</v>
      </c>
      <c r="AA64" s="21" t="s">
        <v>13</v>
      </c>
      <c r="AB64" s="21" t="s">
        <v>424</v>
      </c>
      <c r="AC64"/>
      <c r="AD64" s="21" t="s">
        <v>13</v>
      </c>
      <c r="AF64" s="124">
        <v>1499733</v>
      </c>
      <c r="AG64" s="21">
        <v>0</v>
      </c>
      <c r="AH64" s="1">
        <v>1499733</v>
      </c>
      <c r="AI64" s="1"/>
      <c r="AJ64" s="1"/>
      <c r="AK64" s="1">
        <v>543589</v>
      </c>
      <c r="AL64" s="1">
        <v>78000</v>
      </c>
      <c r="AM64" s="21"/>
      <c r="AN64" s="21">
        <v>15</v>
      </c>
      <c r="AO64" s="21">
        <v>14.5</v>
      </c>
      <c r="AP64" s="21"/>
      <c r="AQ64" s="21"/>
      <c r="AR64" s="8" t="s">
        <v>1971</v>
      </c>
      <c r="AS64" s="21" t="s">
        <v>1989</v>
      </c>
      <c r="AT64" s="21" t="str">
        <f>IFERROR(IF(FIND("?",ckAwdTable[abst_narr_txt]),SummarizeQuestMarks(ckAwdTable[abst_narr_txt]),""),"")</f>
        <v/>
      </c>
      <c r="AU64" s="21"/>
      <c r="AV64" t="s">
        <v>2264</v>
      </c>
      <c r="AW64" t="b">
        <f>AND(ckAwdTable[[#This Row],[ILN]]&gt;"M", SUBSTITUTE(ckAwdTable[[#This Row],[prop_titl_txt]]," ","")&lt;&gt;SUBSTITUTE(AV63," ",""))</f>
        <v>0</v>
      </c>
      <c r="AX64" s="8" t="s">
        <v>2265</v>
      </c>
    </row>
    <row r="65" spans="1:50">
      <c r="A65" s="30">
        <v>42955.712395833332</v>
      </c>
      <c r="B65" s="30">
        <v>42809.695138888892</v>
      </c>
      <c r="C65" t="s">
        <v>1965</v>
      </c>
      <c r="D65" t="s">
        <v>741</v>
      </c>
      <c r="E65" t="s">
        <v>901</v>
      </c>
      <c r="F65" t="s">
        <v>540</v>
      </c>
      <c r="G65" s="8" t="s">
        <v>1966</v>
      </c>
      <c r="H65" s="8" t="s">
        <v>170</v>
      </c>
      <c r="I65" s="8" t="s">
        <v>2709</v>
      </c>
      <c r="J65" t="s">
        <v>94</v>
      </c>
      <c r="K65" t="s">
        <v>1967</v>
      </c>
      <c r="L65" s="22">
        <v>42914.639282407406</v>
      </c>
      <c r="M65" s="109">
        <f xml:space="preserve"> M64+(ckAwdTable[ILN]&lt;"M")</f>
        <v>42</v>
      </c>
      <c r="N65" t="s">
        <v>96</v>
      </c>
      <c r="O65" t="s">
        <v>1347</v>
      </c>
      <c r="P65" s="15" t="str">
        <f>HYPERLINK("https://www.ejacket.nsf.gov/ej/showProposal.do?ID="&amp;ckAwdTable[[#This Row],[prop_id]],"eJ")</f>
        <v>eJ</v>
      </c>
      <c r="Q65" s="8" t="s">
        <v>742</v>
      </c>
      <c r="R65" t="s">
        <v>1347</v>
      </c>
      <c r="S65" t="s">
        <v>1348</v>
      </c>
      <c r="T65" t="s">
        <v>2266</v>
      </c>
      <c r="U65" s="8" t="s">
        <v>2267</v>
      </c>
      <c r="V65" t="s">
        <v>1980</v>
      </c>
      <c r="W65" s="113" t="str">
        <f>HYPERLINK("mailto:"&amp; ckAwdTable[[#This Row],[email]]&amp;"&amp;subject=Your NSF Proposal:  "&amp;ckAwdTable[[#This Row],[prop_id]], ckAwdTable[[#This Row],[email]])</f>
        <v>plahiri@umd.edu</v>
      </c>
      <c r="X65" s="30">
        <v>42979</v>
      </c>
      <c r="Y65">
        <v>36</v>
      </c>
      <c r="AA65" s="21" t="s">
        <v>13</v>
      </c>
      <c r="AB65" s="21" t="s">
        <v>424</v>
      </c>
      <c r="AC65"/>
      <c r="AD65" s="21" t="s">
        <v>13</v>
      </c>
      <c r="AE65" s="21" t="s">
        <v>2710</v>
      </c>
      <c r="AF65" s="124">
        <v>1499984</v>
      </c>
      <c r="AG65" s="21">
        <v>0</v>
      </c>
      <c r="AH65" s="1">
        <v>1499984</v>
      </c>
      <c r="AI65" s="1"/>
      <c r="AJ65" s="1">
        <v>21000</v>
      </c>
      <c r="AM65" s="21">
        <v>15</v>
      </c>
      <c r="AN65" s="21">
        <v>24</v>
      </c>
      <c r="AO65" s="21">
        <v>13.5</v>
      </c>
      <c r="AP65" s="21"/>
      <c r="AQ65" s="21">
        <v>9</v>
      </c>
      <c r="AR65" s="8" t="s">
        <v>1971</v>
      </c>
      <c r="AS65" s="21" t="s">
        <v>1989</v>
      </c>
      <c r="AT65" s="21" t="str">
        <f>IFERROR(IF(FIND("?",ckAwdTable[abst_narr_txt]),SummarizeQuestMarks(ckAwdTable[abst_narr_txt]),""),"")</f>
        <v/>
      </c>
      <c r="AU65" s="21"/>
      <c r="AV65" t="s">
        <v>2268</v>
      </c>
      <c r="AW65" t="b">
        <f>AND(ckAwdTable[[#This Row],[ILN]]&gt;"M", SUBSTITUTE(ckAwdTable[[#This Row],[prop_titl_txt]]," ","")&lt;&gt;SUBSTITUTE(AV64," ",""))</f>
        <v>0</v>
      </c>
      <c r="AX65" s="8" t="s">
        <v>2269</v>
      </c>
    </row>
    <row r="66" spans="1:50">
      <c r="A66" s="30">
        <v>42956.382384259261</v>
      </c>
      <c r="B66" s="30">
        <v>42809.695833333331</v>
      </c>
      <c r="C66" t="s">
        <v>1965</v>
      </c>
      <c r="D66" t="s">
        <v>741</v>
      </c>
      <c r="E66" t="s">
        <v>901</v>
      </c>
      <c r="F66" t="s">
        <v>543</v>
      </c>
      <c r="G66" s="8" t="s">
        <v>1966</v>
      </c>
      <c r="H66" s="8" t="s">
        <v>170</v>
      </c>
      <c r="I66" s="8" t="s">
        <v>2709</v>
      </c>
      <c r="J66" t="s">
        <v>94</v>
      </c>
      <c r="K66" t="s">
        <v>1967</v>
      </c>
      <c r="L66" s="22">
        <v>42951.621724537035</v>
      </c>
      <c r="M66" s="109">
        <f xml:space="preserve"> M65+(ckAwdTable[ILN]&lt;"M")</f>
        <v>43</v>
      </c>
      <c r="N66" t="s">
        <v>96</v>
      </c>
      <c r="O66" t="s">
        <v>1355</v>
      </c>
      <c r="P66" s="15" t="str">
        <f>HYPERLINK("https://www.ejacket.nsf.gov/ej/showProposal.do?ID="&amp;ckAwdTable[[#This Row],[prop_id]],"eJ")</f>
        <v>eJ</v>
      </c>
      <c r="Q66" s="8" t="s">
        <v>742</v>
      </c>
      <c r="R66" t="s">
        <v>1355</v>
      </c>
      <c r="S66" t="s">
        <v>1356</v>
      </c>
      <c r="T66" t="s">
        <v>2270</v>
      </c>
      <c r="U66" s="8" t="s">
        <v>2271</v>
      </c>
      <c r="V66" t="s">
        <v>2107</v>
      </c>
      <c r="W66" s="113" t="str">
        <f>HYPERLINK("mailto:"&amp; ckAwdTable[[#This Row],[email]]&amp;"&amp;subject=Your NSF Proposal:  "&amp;ckAwdTable[[#This Row],[prop_id]], ckAwdTable[[#This Row],[email]])</f>
        <v>asampson@pitt.edu</v>
      </c>
      <c r="X66" s="30">
        <v>42979</v>
      </c>
      <c r="Y66">
        <v>36</v>
      </c>
      <c r="AA66" s="21" t="s">
        <v>13</v>
      </c>
      <c r="AB66" s="21" t="s">
        <v>424</v>
      </c>
      <c r="AC66"/>
      <c r="AD66" s="21" t="s">
        <v>13</v>
      </c>
      <c r="AF66" s="124">
        <v>1412316</v>
      </c>
      <c r="AG66" s="21">
        <v>0</v>
      </c>
      <c r="AH66" s="1">
        <v>1412316</v>
      </c>
      <c r="AI66" s="1"/>
      <c r="AJ66" s="1"/>
      <c r="AK66" s="1">
        <v>204490</v>
      </c>
      <c r="AM66" s="21">
        <v>6</v>
      </c>
      <c r="AN66" s="21">
        <v>15</v>
      </c>
      <c r="AO66" s="21"/>
      <c r="AP66" s="21"/>
      <c r="AQ66" s="21">
        <v>6</v>
      </c>
      <c r="AR66" s="8" t="s">
        <v>1971</v>
      </c>
      <c r="AS66" s="21" t="s">
        <v>1989</v>
      </c>
      <c r="AT66" s="21" t="str">
        <f>IFERROR(IF(FIND("?",ckAwdTable[abst_narr_txt]),SummarizeQuestMarks(ckAwdTable[abst_narr_txt]),""),"")</f>
        <v/>
      </c>
      <c r="AU66" s="21"/>
      <c r="AV66" t="s">
        <v>2273</v>
      </c>
      <c r="AW66" t="b">
        <f>AND(ckAwdTable[[#This Row],[ILN]]&gt;"M", SUBSTITUTE(ckAwdTable[[#This Row],[prop_titl_txt]]," ","")&lt;&gt;SUBSTITUTE(AV65," ",""))</f>
        <v>0</v>
      </c>
      <c r="AX66" s="8" t="s">
        <v>2274</v>
      </c>
    </row>
    <row r="67" spans="1:50">
      <c r="A67" s="30">
        <v>42956.384513888886</v>
      </c>
      <c r="B67" s="30">
        <v>42809.700694444444</v>
      </c>
      <c r="C67" t="s">
        <v>1965</v>
      </c>
      <c r="D67" t="s">
        <v>741</v>
      </c>
      <c r="E67" t="s">
        <v>901</v>
      </c>
      <c r="F67" t="s">
        <v>543</v>
      </c>
      <c r="G67" s="8" t="s">
        <v>1966</v>
      </c>
      <c r="H67" s="8" t="s">
        <v>170</v>
      </c>
      <c r="I67" s="8" t="s">
        <v>2709</v>
      </c>
      <c r="J67" t="s">
        <v>94</v>
      </c>
      <c r="K67" t="s">
        <v>1967</v>
      </c>
      <c r="L67" s="22">
        <v>42951.541817129626</v>
      </c>
      <c r="M67" s="109">
        <f xml:space="preserve"> M66+(ckAwdTable[ILN]&lt;"M")</f>
        <v>44</v>
      </c>
      <c r="N67" t="s">
        <v>96</v>
      </c>
      <c r="O67" t="s">
        <v>1363</v>
      </c>
      <c r="P67" s="15" t="str">
        <f>HYPERLINK("https://www.ejacket.nsf.gov/ej/showProposal.do?ID="&amp;ckAwdTable[[#This Row],[prop_id]],"eJ")</f>
        <v>eJ</v>
      </c>
      <c r="Q67" s="8" t="s">
        <v>742</v>
      </c>
      <c r="R67" t="s">
        <v>1363</v>
      </c>
      <c r="S67" t="s">
        <v>1364</v>
      </c>
      <c r="T67" t="s">
        <v>2275</v>
      </c>
      <c r="U67" s="8" t="s">
        <v>812</v>
      </c>
      <c r="V67" t="s">
        <v>347</v>
      </c>
      <c r="W67" s="113" t="str">
        <f>HYPERLINK("mailto:"&amp; ckAwdTable[[#This Row],[email]]&amp;"&amp;subject=Your NSF Proposal:  "&amp;ckAwdTable[[#This Row],[prop_id]], ckAwdTable[[#This Row],[email]])</f>
        <v>ram@usf.edu</v>
      </c>
      <c r="X67" s="30">
        <v>43101</v>
      </c>
      <c r="Y67">
        <v>36</v>
      </c>
      <c r="AA67" s="21" t="s">
        <v>13</v>
      </c>
      <c r="AB67" s="21" t="s">
        <v>424</v>
      </c>
      <c r="AC67"/>
      <c r="AD67" s="21" t="s">
        <v>13</v>
      </c>
      <c r="AE67" s="21" t="s">
        <v>2722</v>
      </c>
      <c r="AF67" s="124">
        <v>1464858</v>
      </c>
      <c r="AG67" s="21">
        <v>0</v>
      </c>
      <c r="AH67" s="1">
        <v>1464858</v>
      </c>
      <c r="AI67" s="1"/>
      <c r="AJ67" s="1">
        <v>26500</v>
      </c>
      <c r="AL67" s="1">
        <v>68400</v>
      </c>
      <c r="AM67" s="21">
        <v>15</v>
      </c>
      <c r="AN67" s="21">
        <v>15</v>
      </c>
      <c r="AO67" s="21">
        <v>15</v>
      </c>
      <c r="AP67" s="21"/>
      <c r="AQ67" s="21"/>
      <c r="AR67" s="8" t="s">
        <v>1971</v>
      </c>
      <c r="AS67" s="21" t="s">
        <v>1989</v>
      </c>
      <c r="AT67" s="21" t="str">
        <f>IFERROR(IF(FIND("?",ckAwdTable[abst_narr_txt]),SummarizeQuestMarks(ckAwdTable[abst_narr_txt]),""),"")</f>
        <v/>
      </c>
      <c r="AU67" s="21"/>
      <c r="AV67" t="s">
        <v>2277</v>
      </c>
      <c r="AW67" t="b">
        <f>AND(ckAwdTable[[#This Row],[ILN]]&gt;"M", SUBSTITUTE(ckAwdTable[[#This Row],[prop_titl_txt]]," ","")&lt;&gt;SUBSTITUTE(AV66," ",""))</f>
        <v>0</v>
      </c>
      <c r="AX67" s="8" t="s">
        <v>2278</v>
      </c>
    </row>
    <row r="68" spans="1:50">
      <c r="A68" s="30">
        <v>42930.561608796299</v>
      </c>
      <c r="B68" s="30">
        <v>42809.702777777777</v>
      </c>
      <c r="C68" t="s">
        <v>1965</v>
      </c>
      <c r="D68" t="s">
        <v>741</v>
      </c>
      <c r="E68" t="s">
        <v>901</v>
      </c>
      <c r="F68" t="s">
        <v>942</v>
      </c>
      <c r="G68" s="8" t="s">
        <v>1974</v>
      </c>
      <c r="H68" s="8" t="s">
        <v>170</v>
      </c>
      <c r="I68" s="8" t="s">
        <v>897</v>
      </c>
      <c r="J68" t="s">
        <v>94</v>
      </c>
      <c r="K68" t="s">
        <v>1967</v>
      </c>
      <c r="L68" s="22">
        <v>42929.336412037039</v>
      </c>
      <c r="M68" s="109">
        <f xml:space="preserve"> M67+(ckAwdTable[ILN]&lt;"M")</f>
        <v>45</v>
      </c>
      <c r="N68" t="s">
        <v>96</v>
      </c>
      <c r="O68" t="s">
        <v>1372</v>
      </c>
      <c r="P68" s="15" t="str">
        <f>HYPERLINK("https://www.ejacket.nsf.gov/ej/showProposal.do?ID="&amp;ckAwdTable[[#This Row],[prop_id]],"eJ")</f>
        <v>eJ</v>
      </c>
      <c r="Q68" s="8" t="s">
        <v>742</v>
      </c>
      <c r="R68" t="s">
        <v>1372</v>
      </c>
      <c r="S68" t="s">
        <v>1053</v>
      </c>
      <c r="T68" t="s">
        <v>2095</v>
      </c>
      <c r="U68" s="8" t="s">
        <v>2101</v>
      </c>
      <c r="V68" t="s">
        <v>258</v>
      </c>
      <c r="W68" s="113" t="str">
        <f>HYPERLINK("mailto:"&amp; ckAwdTable[[#This Row],[email]]&amp;"&amp;subject=Your NSF Proposal:  "&amp;ckAwdTable[[#This Row],[prop_id]], ckAwdTable[[#This Row],[email]])</f>
        <v>jw2966@columbia.edu</v>
      </c>
      <c r="X68" s="30">
        <v>42979</v>
      </c>
      <c r="Y68">
        <v>36</v>
      </c>
      <c r="AA68" s="21" t="s">
        <v>13</v>
      </c>
      <c r="AB68" s="21" t="s">
        <v>424</v>
      </c>
      <c r="AC68"/>
      <c r="AD68" s="21" t="s">
        <v>13</v>
      </c>
      <c r="AF68" s="124">
        <v>1500000</v>
      </c>
      <c r="AG68" s="21">
        <v>0</v>
      </c>
      <c r="AH68" s="1">
        <v>1500000</v>
      </c>
      <c r="AI68" s="1"/>
      <c r="AJ68" s="1"/>
      <c r="AK68" s="1">
        <v>185454</v>
      </c>
      <c r="AL68" s="1">
        <v>32274</v>
      </c>
      <c r="AM68" s="21">
        <v>6</v>
      </c>
      <c r="AN68" s="21">
        <v>15</v>
      </c>
      <c r="AO68" s="21">
        <v>3.75</v>
      </c>
      <c r="AP68" s="21"/>
      <c r="AQ68" s="21"/>
      <c r="AR68" s="8" t="s">
        <v>1977</v>
      </c>
      <c r="AS68" s="21" t="s">
        <v>1989</v>
      </c>
      <c r="AT68" s="21" t="str">
        <f>IFERROR(IF(FIND("?",ckAwdTable[abst_narr_txt]),SummarizeQuestMarks(ckAwdTable[abst_narr_txt]),""),"")</f>
        <v/>
      </c>
      <c r="AU68" s="21" t="s">
        <v>1374</v>
      </c>
      <c r="AV68" t="s">
        <v>2280</v>
      </c>
      <c r="AW68" t="b">
        <f>AND(ckAwdTable[[#This Row],[ILN]]&gt;"M", SUBSTITUTE(ckAwdTable[[#This Row],[prop_titl_txt]]," ","")&lt;&gt;SUBSTITUTE(AV67," ",""))</f>
        <v>0</v>
      </c>
      <c r="AX68" s="8" t="s">
        <v>2281</v>
      </c>
    </row>
    <row r="69" spans="1:50">
      <c r="A69" s="30">
        <v>42934.468009259261</v>
      </c>
      <c r="B69" s="30">
        <v>42809.705555555556</v>
      </c>
      <c r="C69" t="s">
        <v>1965</v>
      </c>
      <c r="D69" t="s">
        <v>741</v>
      </c>
      <c r="E69" t="s">
        <v>901</v>
      </c>
      <c r="F69" t="s">
        <v>540</v>
      </c>
      <c r="G69" s="8" t="s">
        <v>1966</v>
      </c>
      <c r="H69" s="8" t="s">
        <v>170</v>
      </c>
      <c r="I69" s="8" t="s">
        <v>2709</v>
      </c>
      <c r="J69" t="s">
        <v>94</v>
      </c>
      <c r="K69" t="s">
        <v>1967</v>
      </c>
      <c r="L69" s="22">
        <v>42920.135023148148</v>
      </c>
      <c r="M69" s="109">
        <f xml:space="preserve"> M68+(ckAwdTable[ILN]&lt;"M")</f>
        <v>46</v>
      </c>
      <c r="N69" t="s">
        <v>96</v>
      </c>
      <c r="O69" t="s">
        <v>1380</v>
      </c>
      <c r="P69" s="15" t="str">
        <f>HYPERLINK("https://www.ejacket.nsf.gov/ej/showProposal.do?ID="&amp;ckAwdTable[[#This Row],[prop_id]],"eJ")</f>
        <v>eJ</v>
      </c>
      <c r="Q69" s="8" t="s">
        <v>742</v>
      </c>
      <c r="R69" t="s">
        <v>1380</v>
      </c>
      <c r="S69" t="s">
        <v>1381</v>
      </c>
      <c r="T69" t="s">
        <v>2282</v>
      </c>
      <c r="U69" s="8" t="s">
        <v>2283</v>
      </c>
      <c r="V69" t="s">
        <v>2207</v>
      </c>
      <c r="W69" s="113" t="str">
        <f>HYPERLINK("mailto:"&amp; ckAwdTable[[#This Row],[email]]&amp;"&amp;subject=Your NSF Proposal:  "&amp;ckAwdTable[[#This Row],[prop_id]], ckAwdTable[[#This Row],[email]])</f>
        <v>mischaik@math.rutgers.edu</v>
      </c>
      <c r="X69" s="30">
        <v>43009</v>
      </c>
      <c r="Y69">
        <v>36</v>
      </c>
      <c r="AA69" s="21" t="s">
        <v>13</v>
      </c>
      <c r="AB69" s="21" t="s">
        <v>424</v>
      </c>
      <c r="AC69"/>
      <c r="AD69" s="21" t="s">
        <v>13</v>
      </c>
      <c r="AF69" s="124">
        <v>1499998</v>
      </c>
      <c r="AG69" s="21">
        <v>0</v>
      </c>
      <c r="AH69" s="1">
        <v>1499998</v>
      </c>
      <c r="AI69" s="1"/>
      <c r="AJ69" s="1"/>
      <c r="AL69" s="1">
        <v>801248</v>
      </c>
      <c r="AM69" s="21"/>
      <c r="AN69" s="21">
        <v>12</v>
      </c>
      <c r="AO69" s="21">
        <v>2</v>
      </c>
      <c r="AP69" s="21">
        <v>4.4000000000000004</v>
      </c>
      <c r="AQ69" s="21">
        <v>0.3</v>
      </c>
      <c r="AR69" s="8" t="s">
        <v>1971</v>
      </c>
      <c r="AS69" s="21" t="s">
        <v>1989</v>
      </c>
      <c r="AT69" s="21" t="str">
        <f>IFERROR(IF(FIND("?",ckAwdTable[abst_narr_txt]),SummarizeQuestMarks(ckAwdTable[abst_narr_txt]),""),"")</f>
        <v/>
      </c>
      <c r="AU69" s="21"/>
      <c r="AV69" t="s">
        <v>2284</v>
      </c>
      <c r="AW69" t="b">
        <f>AND(ckAwdTable[[#This Row],[ILN]]&gt;"M", SUBSTITUTE(ckAwdTable[[#This Row],[prop_titl_txt]]," ","")&lt;&gt;SUBSTITUTE(AV68," ",""))</f>
        <v>0</v>
      </c>
      <c r="AX69" s="8" t="s">
        <v>2285</v>
      </c>
    </row>
    <row r="70" spans="1:50">
      <c r="A70" s="30">
        <v>42956.385439814818</v>
      </c>
      <c r="B70" s="30">
        <v>42809.706250000003</v>
      </c>
      <c r="C70" t="s">
        <v>1965</v>
      </c>
      <c r="D70" t="s">
        <v>741</v>
      </c>
      <c r="E70" t="s">
        <v>901</v>
      </c>
      <c r="F70" t="s">
        <v>543</v>
      </c>
      <c r="G70" s="8" t="s">
        <v>1966</v>
      </c>
      <c r="H70" s="8" t="s">
        <v>170</v>
      </c>
      <c r="I70" s="8" t="s">
        <v>2709</v>
      </c>
      <c r="J70" t="s">
        <v>94</v>
      </c>
      <c r="K70" t="s">
        <v>1967</v>
      </c>
      <c r="L70" s="22">
        <v>42951.589386574073</v>
      </c>
      <c r="M70" s="109">
        <f xml:space="preserve"> M69+(ckAwdTable[ILN]&lt;"M")</f>
        <v>47</v>
      </c>
      <c r="N70" t="s">
        <v>96</v>
      </c>
      <c r="O70" t="s">
        <v>1389</v>
      </c>
      <c r="P70" s="15" t="str">
        <f>HYPERLINK("https://www.ejacket.nsf.gov/ej/showProposal.do?ID="&amp;ckAwdTable[[#This Row],[prop_id]],"eJ")</f>
        <v>eJ</v>
      </c>
      <c r="Q70" s="8" t="s">
        <v>742</v>
      </c>
      <c r="R70" t="s">
        <v>1389</v>
      </c>
      <c r="S70" t="s">
        <v>1390</v>
      </c>
      <c r="T70" t="s">
        <v>2286</v>
      </c>
      <c r="U70" s="8" t="s">
        <v>2287</v>
      </c>
      <c r="V70" t="s">
        <v>257</v>
      </c>
      <c r="W70" s="113" t="str">
        <f>HYPERLINK("mailto:"&amp; ckAwdTable[[#This Row],[email]]&amp;"&amp;subject=Your NSF Proposal:  "&amp;ckAwdTable[[#This Row],[prop_id]], ckAwdTable[[#This Row],[email]])</f>
        <v>orecchia@bu.edu</v>
      </c>
      <c r="X70" s="30">
        <v>43101</v>
      </c>
      <c r="Y70">
        <v>36</v>
      </c>
      <c r="AA70" s="21" t="s">
        <v>13</v>
      </c>
      <c r="AB70" s="21" t="s">
        <v>424</v>
      </c>
      <c r="AC70"/>
      <c r="AD70" s="21" t="s">
        <v>13</v>
      </c>
      <c r="AF70" s="124">
        <v>1493907</v>
      </c>
      <c r="AG70" s="21">
        <v>0</v>
      </c>
      <c r="AH70" s="1">
        <v>1493907</v>
      </c>
      <c r="AI70" s="1"/>
      <c r="AJ70" s="1"/>
      <c r="AL70" s="1">
        <v>956970</v>
      </c>
      <c r="AM70" s="21"/>
      <c r="AN70" s="21">
        <v>30</v>
      </c>
      <c r="AO70" s="21">
        <v>7.35</v>
      </c>
      <c r="AP70" s="21"/>
      <c r="AQ70" s="21"/>
      <c r="AR70" s="8" t="s">
        <v>1971</v>
      </c>
      <c r="AS70" s="21" t="s">
        <v>1989</v>
      </c>
      <c r="AT70" s="21" t="str">
        <f>IFERROR(IF(FIND("?",ckAwdTable[abst_narr_txt]),SummarizeQuestMarks(ckAwdTable[abst_narr_txt]),""),"")</f>
        <v/>
      </c>
      <c r="AU70" s="21"/>
      <c r="AV70" t="s">
        <v>2288</v>
      </c>
      <c r="AW70" t="b">
        <f>AND(ckAwdTable[[#This Row],[ILN]]&gt;"M", SUBSTITUTE(ckAwdTable[[#This Row],[prop_titl_txt]]," ","")&lt;&gt;SUBSTITUTE(AV69," ",""))</f>
        <v>0</v>
      </c>
      <c r="AX70" s="8" t="s">
        <v>2289</v>
      </c>
    </row>
    <row r="71" spans="1:50">
      <c r="A71" s="30">
        <v>42955.68005787037</v>
      </c>
      <c r="B71" s="30">
        <v>42809.708333333336</v>
      </c>
      <c r="C71" t="s">
        <v>1965</v>
      </c>
      <c r="D71" t="s">
        <v>741</v>
      </c>
      <c r="E71" t="s">
        <v>901</v>
      </c>
      <c r="F71" t="s">
        <v>948</v>
      </c>
      <c r="G71" s="8" t="s">
        <v>1966</v>
      </c>
      <c r="H71" s="8" t="s">
        <v>170</v>
      </c>
      <c r="I71" s="8" t="s">
        <v>2709</v>
      </c>
      <c r="J71" t="s">
        <v>94</v>
      </c>
      <c r="K71" t="s">
        <v>1967</v>
      </c>
      <c r="L71" s="22">
        <v>42955.570798611108</v>
      </c>
      <c r="M71" s="109">
        <f xml:space="preserve"> M70+(ckAwdTable[ILN]&lt;"M")</f>
        <v>48</v>
      </c>
      <c r="N71" t="s">
        <v>96</v>
      </c>
      <c r="O71" t="s">
        <v>1395</v>
      </c>
      <c r="P71" s="15" t="str">
        <f>HYPERLINK("https://www.ejacket.nsf.gov/ej/showProposal.do?ID="&amp;ckAwdTable[[#This Row],[prop_id]],"eJ")</f>
        <v>eJ</v>
      </c>
      <c r="Q71" s="8" t="s">
        <v>742</v>
      </c>
      <c r="R71" t="s">
        <v>1395</v>
      </c>
      <c r="S71" t="s">
        <v>1396</v>
      </c>
      <c r="T71" t="s">
        <v>2290</v>
      </c>
      <c r="U71" s="8" t="s">
        <v>2291</v>
      </c>
      <c r="V71" t="s">
        <v>340</v>
      </c>
      <c r="W71" s="113" t="str">
        <f>HYPERLINK("mailto:"&amp; ckAwdTable[[#This Row],[email]]&amp;"&amp;subject=Your NSF Proposal:  "&amp;ckAwdTable[[#This Row],[prop_id]], ckAwdTable[[#This Row],[email]])</f>
        <v>tanyabw@uic.edu</v>
      </c>
      <c r="X71" s="30">
        <v>43236</v>
      </c>
      <c r="Y71">
        <v>36</v>
      </c>
      <c r="AA71" s="21" t="s">
        <v>13</v>
      </c>
      <c r="AB71" s="21" t="s">
        <v>424</v>
      </c>
      <c r="AC71"/>
      <c r="AD71" s="21" t="s">
        <v>13</v>
      </c>
      <c r="AE71" s="21" t="s">
        <v>2723</v>
      </c>
      <c r="AF71" s="124">
        <v>1500000</v>
      </c>
      <c r="AG71" s="21">
        <v>1</v>
      </c>
      <c r="AH71" s="1">
        <v>1500000</v>
      </c>
      <c r="AI71" s="1"/>
      <c r="AJ71" s="1">
        <v>40596</v>
      </c>
      <c r="AK71" s="1">
        <v>77273</v>
      </c>
      <c r="AM71" s="21">
        <v>12</v>
      </c>
      <c r="AN71" s="21">
        <v>12</v>
      </c>
      <c r="AO71" s="21">
        <v>7.92</v>
      </c>
      <c r="AP71" s="21"/>
      <c r="AQ71" s="21"/>
      <c r="AR71" s="8" t="s">
        <v>1971</v>
      </c>
      <c r="AS71" s="21" t="s">
        <v>1989</v>
      </c>
      <c r="AT71" s="21" t="str">
        <f>IFERROR(IF(FIND("?",ckAwdTable[abst_narr_txt]),SummarizeQuestMarks(ckAwdTable[abst_narr_txt]),""),"")</f>
        <v/>
      </c>
      <c r="AU71" s="21"/>
      <c r="AV71" t="s">
        <v>2292</v>
      </c>
      <c r="AW71" t="b">
        <f>AND(ckAwdTable[[#This Row],[ILN]]&gt;"M", SUBSTITUTE(ckAwdTable[[#This Row],[prop_titl_txt]]," ","")&lt;&gt;SUBSTITUTE(AV70," ",""))</f>
        <v>0</v>
      </c>
      <c r="AX71" s="8" t="s">
        <v>2293</v>
      </c>
    </row>
    <row r="72" spans="1:50">
      <c r="A72" s="30">
        <v>42955.718252314815</v>
      </c>
      <c r="B72" s="30">
        <v>42809.71597222222</v>
      </c>
      <c r="C72" t="s">
        <v>1965</v>
      </c>
      <c r="D72" t="s">
        <v>741</v>
      </c>
      <c r="E72" t="s">
        <v>901</v>
      </c>
      <c r="F72" t="s">
        <v>942</v>
      </c>
      <c r="G72" s="8" t="s">
        <v>1966</v>
      </c>
      <c r="H72" s="8" t="s">
        <v>170</v>
      </c>
      <c r="I72" s="8" t="s">
        <v>2709</v>
      </c>
      <c r="J72" t="s">
        <v>94</v>
      </c>
      <c r="K72" t="s">
        <v>1967</v>
      </c>
      <c r="L72" s="22">
        <v>42954.395752314813</v>
      </c>
      <c r="M72" s="109">
        <f xml:space="preserve"> M71+(ckAwdTable[ILN]&lt;"M")</f>
        <v>49</v>
      </c>
      <c r="N72" t="s">
        <v>96</v>
      </c>
      <c r="O72" t="s">
        <v>1403</v>
      </c>
      <c r="P72" s="15" t="str">
        <f>HYPERLINK("https://www.ejacket.nsf.gov/ej/showProposal.do?ID="&amp;ckAwdTable[[#This Row],[prop_id]],"eJ")</f>
        <v>eJ</v>
      </c>
      <c r="Q72" s="8" t="s">
        <v>742</v>
      </c>
      <c r="R72" t="s">
        <v>1403</v>
      </c>
      <c r="S72" t="s">
        <v>1404</v>
      </c>
      <c r="T72" t="s">
        <v>2294</v>
      </c>
      <c r="U72" s="8" t="s">
        <v>339</v>
      </c>
      <c r="V72" t="s">
        <v>340</v>
      </c>
      <c r="W72" s="113" t="str">
        <f>HYPERLINK("mailto:"&amp; ckAwdTable[[#This Row],[email]]&amp;"&amp;subject=Your NSF Proposal:  "&amp;ckAwdTable[[#This Row],[prop_id]], ckAwdTable[[#This Row],[email]])</f>
        <v>ybresler@illinois.edu</v>
      </c>
      <c r="X72" s="30">
        <v>43009</v>
      </c>
      <c r="Y72">
        <v>36</v>
      </c>
      <c r="AA72" s="21" t="s">
        <v>13</v>
      </c>
      <c r="AB72" s="21" t="s">
        <v>424</v>
      </c>
      <c r="AC72"/>
      <c r="AD72" s="21" t="s">
        <v>13</v>
      </c>
      <c r="AF72" s="124">
        <v>1500000</v>
      </c>
      <c r="AG72" s="21">
        <v>0</v>
      </c>
      <c r="AH72" s="1">
        <v>1500000</v>
      </c>
      <c r="AI72" s="1"/>
      <c r="AJ72" s="1"/>
      <c r="AM72" s="21">
        <v>24</v>
      </c>
      <c r="AN72" s="21">
        <v>24</v>
      </c>
      <c r="AO72" s="21">
        <v>16.8</v>
      </c>
      <c r="AP72" s="21"/>
      <c r="AQ72" s="21"/>
      <c r="AR72" s="8" t="s">
        <v>1971</v>
      </c>
      <c r="AS72" s="21" t="s">
        <v>1989</v>
      </c>
      <c r="AT72" s="21" t="str">
        <f>IFERROR(IF(FIND("?",ckAwdTable[abst_narr_txt]),SummarizeQuestMarks(ckAwdTable[abst_narr_txt]),""),"")</f>
        <v/>
      </c>
      <c r="AU72" s="21"/>
      <c r="AV72" t="s">
        <v>2295</v>
      </c>
      <c r="AW72" t="b">
        <f>AND(ckAwdTable[[#This Row],[ILN]]&gt;"M", SUBSTITUTE(ckAwdTable[[#This Row],[prop_titl_txt]]," ","")&lt;&gt;SUBSTITUTE(AV71," ",""))</f>
        <v>0</v>
      </c>
      <c r="AX72" s="8" t="s">
        <v>2296</v>
      </c>
    </row>
    <row r="73" spans="1:50">
      <c r="A73" s="30">
        <v>42955.719560185185</v>
      </c>
      <c r="B73" s="30">
        <v>42809.719444444447</v>
      </c>
      <c r="C73" t="s">
        <v>1965</v>
      </c>
      <c r="D73" t="s">
        <v>741</v>
      </c>
      <c r="E73" t="s">
        <v>901</v>
      </c>
      <c r="F73" t="s">
        <v>942</v>
      </c>
      <c r="G73" s="8" t="s">
        <v>1966</v>
      </c>
      <c r="H73" s="8" t="s">
        <v>170</v>
      </c>
      <c r="I73" s="8" t="s">
        <v>2709</v>
      </c>
      <c r="J73" t="s">
        <v>94</v>
      </c>
      <c r="K73" t="s">
        <v>1967</v>
      </c>
      <c r="L73" s="22">
        <v>42954.395972222221</v>
      </c>
      <c r="M73" s="109">
        <f xml:space="preserve"> M72+(ckAwdTable[ILN]&lt;"M")</f>
        <v>50</v>
      </c>
      <c r="N73" t="s">
        <v>96</v>
      </c>
      <c r="O73" t="s">
        <v>1410</v>
      </c>
      <c r="P73" s="15" t="str">
        <f>HYPERLINK("https://www.ejacket.nsf.gov/ej/showProposal.do?ID="&amp;ckAwdTable[[#This Row],[prop_id]],"eJ")</f>
        <v>eJ</v>
      </c>
      <c r="Q73" s="8" t="s">
        <v>742</v>
      </c>
      <c r="R73" t="s">
        <v>1410</v>
      </c>
      <c r="S73" t="s">
        <v>1411</v>
      </c>
      <c r="T73" t="s">
        <v>2297</v>
      </c>
      <c r="U73" s="8" t="s">
        <v>2298</v>
      </c>
      <c r="V73" t="s">
        <v>254</v>
      </c>
      <c r="W73" s="113" t="str">
        <f>HYPERLINK("mailto:"&amp; ckAwdTable[[#This Row],[email]]&amp;"&amp;subject=Your NSF Proposal:  "&amp;ckAwdTable[[#This Row],[prop_id]], ckAwdTable[[#This Row],[email]])</f>
        <v>jay.bayne@marquette.edu</v>
      </c>
      <c r="X73" s="30">
        <v>43101</v>
      </c>
      <c r="Y73">
        <v>36</v>
      </c>
      <c r="AA73" s="21" t="s">
        <v>13</v>
      </c>
      <c r="AB73" s="21" t="s">
        <v>424</v>
      </c>
      <c r="AC73"/>
      <c r="AD73" s="21" t="s">
        <v>13</v>
      </c>
      <c r="AF73" s="124">
        <v>1486183</v>
      </c>
      <c r="AG73" s="21">
        <v>0</v>
      </c>
      <c r="AH73" s="1">
        <v>1486183</v>
      </c>
      <c r="AI73" s="1"/>
      <c r="AJ73" s="1"/>
      <c r="AM73" s="21">
        <v>6</v>
      </c>
      <c r="AN73" s="21">
        <v>11</v>
      </c>
      <c r="AO73" s="21">
        <v>16</v>
      </c>
      <c r="AP73" s="21"/>
      <c r="AQ73" s="21">
        <v>18</v>
      </c>
      <c r="AR73" s="8" t="s">
        <v>1971</v>
      </c>
      <c r="AS73" s="21" t="s">
        <v>1989</v>
      </c>
      <c r="AT73" s="21" t="str">
        <f>IFERROR(IF(FIND("?",ckAwdTable[abst_narr_txt]),SummarizeQuestMarks(ckAwdTable[abst_narr_txt]),""),"")</f>
        <v/>
      </c>
      <c r="AU73" s="21"/>
      <c r="AV73" t="s">
        <v>2299</v>
      </c>
      <c r="AW73" t="b">
        <f>AND(ckAwdTable[[#This Row],[ILN]]&gt;"M", SUBSTITUTE(ckAwdTable[[#This Row],[prop_titl_txt]]," ","")&lt;&gt;SUBSTITUTE(AV72," ",""))</f>
        <v>0</v>
      </c>
      <c r="AX73" s="8" t="s">
        <v>2300</v>
      </c>
    </row>
    <row r="74" spans="1:50">
      <c r="A74" s="30">
        <v>42955.72016203704</v>
      </c>
      <c r="B74" s="30">
        <v>42809.723611111112</v>
      </c>
      <c r="C74" t="s">
        <v>1965</v>
      </c>
      <c r="D74" t="s">
        <v>741</v>
      </c>
      <c r="E74" t="s">
        <v>901</v>
      </c>
      <c r="F74" t="s">
        <v>942</v>
      </c>
      <c r="G74" s="8" t="s">
        <v>1966</v>
      </c>
      <c r="H74" s="8" t="s">
        <v>170</v>
      </c>
      <c r="I74" s="8" t="s">
        <v>2709</v>
      </c>
      <c r="J74" t="s">
        <v>94</v>
      </c>
      <c r="K74" t="s">
        <v>1967</v>
      </c>
      <c r="L74" s="22">
        <v>42954.397997685184</v>
      </c>
      <c r="M74" s="109">
        <f xml:space="preserve"> M73+(ckAwdTable[ILN]&lt;"M")</f>
        <v>51</v>
      </c>
      <c r="N74" t="s">
        <v>96</v>
      </c>
      <c r="O74" t="s">
        <v>1416</v>
      </c>
      <c r="P74" s="15" t="str">
        <f>HYPERLINK("https://www.ejacket.nsf.gov/ej/showProposal.do?ID="&amp;ckAwdTable[[#This Row],[prop_id]],"eJ")</f>
        <v>eJ</v>
      </c>
      <c r="Q74" s="8" t="s">
        <v>742</v>
      </c>
      <c r="R74" t="s">
        <v>1416</v>
      </c>
      <c r="S74" t="s">
        <v>1417</v>
      </c>
      <c r="T74" t="s">
        <v>2301</v>
      </c>
      <c r="U74" s="8" t="s">
        <v>2302</v>
      </c>
      <c r="V74" t="s">
        <v>109</v>
      </c>
      <c r="W74" s="113" t="str">
        <f>HYPERLINK("mailto:"&amp; ckAwdTable[[#This Row],[email]]&amp;"&amp;subject=Your NSF Proposal:  "&amp;ckAwdTable[[#This Row],[prop_id]], ckAwdTable[[#This Row],[email]])</f>
        <v>pietro@math.ksu.edu</v>
      </c>
      <c r="X74" s="30">
        <v>42979</v>
      </c>
      <c r="Y74">
        <v>36</v>
      </c>
      <c r="AA74" s="21" t="s">
        <v>13</v>
      </c>
      <c r="AB74" s="21" t="s">
        <v>424</v>
      </c>
      <c r="AC74"/>
      <c r="AD74" s="21" t="s">
        <v>13</v>
      </c>
      <c r="AF74" s="124">
        <v>1499366</v>
      </c>
      <c r="AG74" s="21">
        <v>0</v>
      </c>
      <c r="AH74" s="1">
        <v>1499366</v>
      </c>
      <c r="AI74" s="1"/>
      <c r="AJ74" s="1"/>
      <c r="AK74" s="1">
        <v>154545</v>
      </c>
      <c r="AL74" s="1">
        <v>78200</v>
      </c>
      <c r="AM74" s="21">
        <v>12</v>
      </c>
      <c r="AN74" s="21">
        <v>15</v>
      </c>
      <c r="AO74" s="21">
        <v>18</v>
      </c>
      <c r="AP74" s="21"/>
      <c r="AQ74" s="21"/>
      <c r="AR74" s="8" t="s">
        <v>1971</v>
      </c>
      <c r="AS74" s="21" t="s">
        <v>1989</v>
      </c>
      <c r="AT74" s="21" t="str">
        <f>IFERROR(IF(FIND("?",ckAwdTable[abst_narr_txt]),SummarizeQuestMarks(ckAwdTable[abst_narr_txt]),""),"")</f>
        <v/>
      </c>
      <c r="AU74" s="21"/>
      <c r="AV74" t="s">
        <v>2303</v>
      </c>
      <c r="AW74" t="b">
        <f>AND(ckAwdTable[[#This Row],[ILN]]&gt;"M", SUBSTITUTE(ckAwdTable[[#This Row],[prop_titl_txt]]," ","")&lt;&gt;SUBSTITUTE(AV73," ",""))</f>
        <v>0</v>
      </c>
      <c r="AX74" s="8" t="s">
        <v>2304</v>
      </c>
    </row>
    <row r="75" spans="1:50">
      <c r="A75" s="30">
        <v>42957.731087962966</v>
      </c>
      <c r="B75" s="30">
        <v>42809.727777777778</v>
      </c>
      <c r="C75" t="s">
        <v>1965</v>
      </c>
      <c r="D75" t="s">
        <v>741</v>
      </c>
      <c r="E75" t="s">
        <v>901</v>
      </c>
      <c r="F75" t="s">
        <v>948</v>
      </c>
      <c r="G75" s="8" t="s">
        <v>1966</v>
      </c>
      <c r="H75" s="8" t="s">
        <v>170</v>
      </c>
      <c r="I75" s="8" t="s">
        <v>2709</v>
      </c>
      <c r="J75" t="s">
        <v>94</v>
      </c>
      <c r="K75" t="s">
        <v>1967</v>
      </c>
      <c r="L75" s="22">
        <v>42957.358275462961</v>
      </c>
      <c r="M75" s="109">
        <f xml:space="preserve"> M74+(ckAwdTable[ILN]&lt;"M")</f>
        <v>52</v>
      </c>
      <c r="N75" t="s">
        <v>96</v>
      </c>
      <c r="O75" t="s">
        <v>1422</v>
      </c>
      <c r="P75" s="15" t="str">
        <f>HYPERLINK("https://www.ejacket.nsf.gov/ej/showProposal.do?ID="&amp;ckAwdTable[[#This Row],[prop_id]],"eJ")</f>
        <v>eJ</v>
      </c>
      <c r="Q75" s="8" t="s">
        <v>742</v>
      </c>
      <c r="R75" t="s">
        <v>1422</v>
      </c>
      <c r="S75" t="s">
        <v>1423</v>
      </c>
      <c r="T75" t="s">
        <v>2305</v>
      </c>
      <c r="U75" s="8" t="s">
        <v>2306</v>
      </c>
      <c r="V75" t="s">
        <v>113</v>
      </c>
      <c r="W75" s="113" t="str">
        <f>HYPERLINK("mailto:"&amp; ckAwdTable[[#This Row],[email]]&amp;"&amp;subject=Your NSF Proposal:  "&amp;ckAwdTable[[#This Row],[prop_id]], ckAwdTable[[#This Row],[email]])</f>
        <v>jclarke3@unl.edu</v>
      </c>
      <c r="X75" s="30">
        <v>42979</v>
      </c>
      <c r="Y75">
        <v>36</v>
      </c>
      <c r="AA75" s="21" t="s">
        <v>13</v>
      </c>
      <c r="AB75" s="21" t="s">
        <v>424</v>
      </c>
      <c r="AC75"/>
      <c r="AD75" s="21" t="s">
        <v>13</v>
      </c>
      <c r="AF75" s="124">
        <v>1472301</v>
      </c>
      <c r="AG75" s="21">
        <v>0</v>
      </c>
      <c r="AH75" s="1">
        <v>1472301</v>
      </c>
      <c r="AI75" s="1"/>
      <c r="AJ75" s="1"/>
      <c r="AK75" s="1">
        <v>214228</v>
      </c>
      <c r="AL75" s="1">
        <v>49640</v>
      </c>
      <c r="AM75" s="21">
        <v>9</v>
      </c>
      <c r="AN75" s="21">
        <v>24</v>
      </c>
      <c r="AO75" s="21">
        <v>7.5</v>
      </c>
      <c r="AP75" s="21"/>
      <c r="AQ75" s="21">
        <v>4.5</v>
      </c>
      <c r="AR75" s="8" t="s">
        <v>1971</v>
      </c>
      <c r="AS75" s="21" t="s">
        <v>1989</v>
      </c>
      <c r="AT75" s="21" t="str">
        <f>IFERROR(IF(FIND("?",ckAwdTable[abst_narr_txt]),SummarizeQuestMarks(ckAwdTable[abst_narr_txt]),""),"")</f>
        <v/>
      </c>
      <c r="AU75" s="21"/>
      <c r="AV75" t="s">
        <v>2307</v>
      </c>
      <c r="AW75" t="b">
        <f>AND(ckAwdTable[[#This Row],[ILN]]&gt;"M", SUBSTITUTE(ckAwdTable[[#This Row],[prop_titl_txt]]," ","")&lt;&gt;SUBSTITUTE(AV74," ",""))</f>
        <v>0</v>
      </c>
      <c r="AX75" s="8" t="s">
        <v>2308</v>
      </c>
    </row>
    <row r="76" spans="1:50">
      <c r="A76" s="30">
        <v>42930.5705787037</v>
      </c>
      <c r="B76" s="30">
        <v>42809.763888888891</v>
      </c>
      <c r="C76" t="s">
        <v>1965</v>
      </c>
      <c r="D76" t="s">
        <v>741</v>
      </c>
      <c r="E76" t="s">
        <v>901</v>
      </c>
      <c r="F76" t="s">
        <v>942</v>
      </c>
      <c r="G76" s="8" t="s">
        <v>1974</v>
      </c>
      <c r="H76" s="8" t="s">
        <v>170</v>
      </c>
      <c r="I76" s="8" t="s">
        <v>897</v>
      </c>
      <c r="J76" t="s">
        <v>94</v>
      </c>
      <c r="K76" t="s">
        <v>1967</v>
      </c>
      <c r="L76" s="22">
        <v>42929.536898148152</v>
      </c>
      <c r="M76" s="109">
        <f xml:space="preserve"> M75+(ckAwdTable[ILN]&lt;"M")</f>
        <v>53</v>
      </c>
      <c r="N76" t="s">
        <v>96</v>
      </c>
      <c r="O76" t="s">
        <v>1429</v>
      </c>
      <c r="P76" s="15" t="str">
        <f>HYPERLINK("https://www.ejacket.nsf.gov/ej/showProposal.do?ID="&amp;ckAwdTable[[#This Row],[prop_id]],"eJ")</f>
        <v>eJ</v>
      </c>
      <c r="Q76" s="8" t="s">
        <v>742</v>
      </c>
      <c r="R76" t="s">
        <v>1429</v>
      </c>
      <c r="S76" t="s">
        <v>1430</v>
      </c>
      <c r="T76" t="s">
        <v>2309</v>
      </c>
      <c r="U76" s="8" t="s">
        <v>2310</v>
      </c>
      <c r="V76" t="s">
        <v>256</v>
      </c>
      <c r="W76" s="113" t="str">
        <f>HYPERLINK("mailto:"&amp; ckAwdTable[[#This Row],[email]]&amp;"&amp;subject=Your NSF Proposal:  "&amp;ckAwdTable[[#This Row],[prop_id]], ckAwdTable[[#This Row],[email]])</f>
        <v>getoor@soe.ucsc.edu</v>
      </c>
      <c r="X76" s="30">
        <v>42979</v>
      </c>
      <c r="Y76">
        <v>36</v>
      </c>
      <c r="AA76" s="21" t="s">
        <v>13</v>
      </c>
      <c r="AB76" s="21" t="s">
        <v>424</v>
      </c>
      <c r="AC76"/>
      <c r="AD76" s="21" t="s">
        <v>13</v>
      </c>
      <c r="AF76" s="124">
        <v>1500000</v>
      </c>
      <c r="AG76" s="21">
        <v>0</v>
      </c>
      <c r="AH76" s="1">
        <v>1500000</v>
      </c>
      <c r="AI76" s="1"/>
      <c r="AJ76" s="1"/>
      <c r="AK76" s="1">
        <v>231818</v>
      </c>
      <c r="AL76" s="1">
        <v>55000</v>
      </c>
      <c r="AM76" s="21">
        <v>9</v>
      </c>
      <c r="AN76" s="21">
        <v>9</v>
      </c>
      <c r="AO76" s="21">
        <v>4.42</v>
      </c>
      <c r="AP76" s="21"/>
      <c r="AQ76" s="21"/>
      <c r="AR76" s="8" t="s">
        <v>1977</v>
      </c>
      <c r="AS76" s="21" t="s">
        <v>1989</v>
      </c>
      <c r="AT76" s="21" t="str">
        <f>IFERROR(IF(FIND("?",ckAwdTable[abst_narr_txt]),SummarizeQuestMarks(ckAwdTable[abst_narr_txt]),""),"")</f>
        <v/>
      </c>
      <c r="AU76" s="21" t="s">
        <v>1432</v>
      </c>
      <c r="AV76" t="s">
        <v>2312</v>
      </c>
      <c r="AW76" t="b">
        <f>AND(ckAwdTable[[#This Row],[ILN]]&gt;"M", SUBSTITUTE(ckAwdTable[[#This Row],[prop_titl_txt]]," ","")&lt;&gt;SUBSTITUTE(AV75," ",""))</f>
        <v>0</v>
      </c>
      <c r="AX76" s="8" t="s">
        <v>2313</v>
      </c>
    </row>
    <row r="77" spans="1:50">
      <c r="A77" s="30">
        <v>42955.720914351848</v>
      </c>
      <c r="B77" s="30">
        <v>42809.763888888891</v>
      </c>
      <c r="C77" t="s">
        <v>1965</v>
      </c>
      <c r="D77" t="s">
        <v>741</v>
      </c>
      <c r="E77" t="s">
        <v>901</v>
      </c>
      <c r="F77" t="s">
        <v>942</v>
      </c>
      <c r="G77" s="8" t="s">
        <v>1966</v>
      </c>
      <c r="H77" s="8" t="s">
        <v>170</v>
      </c>
      <c r="I77" s="8" t="s">
        <v>2709</v>
      </c>
      <c r="J77" t="s">
        <v>94</v>
      </c>
      <c r="K77" t="s">
        <v>1967</v>
      </c>
      <c r="L77" s="22">
        <v>42954.401226851849</v>
      </c>
      <c r="M77" s="109">
        <f xml:space="preserve"> M76+(ckAwdTable[ILN]&lt;"M")</f>
        <v>54</v>
      </c>
      <c r="N77" t="s">
        <v>96</v>
      </c>
      <c r="O77" t="s">
        <v>1438</v>
      </c>
      <c r="P77" s="15" t="str">
        <f>HYPERLINK("https://www.ejacket.nsf.gov/ej/showProposal.do?ID="&amp;ckAwdTable[[#This Row],[prop_id]],"eJ")</f>
        <v>eJ</v>
      </c>
      <c r="Q77" s="8" t="s">
        <v>742</v>
      </c>
      <c r="R77" t="s">
        <v>1438</v>
      </c>
      <c r="S77" t="s">
        <v>1439</v>
      </c>
      <c r="T77" t="s">
        <v>2314</v>
      </c>
      <c r="U77" s="8" t="s">
        <v>2315</v>
      </c>
      <c r="V77" t="s">
        <v>256</v>
      </c>
      <c r="W77" s="113" t="str">
        <f>HYPERLINK("mailto:"&amp; ckAwdTable[[#This Row],[email]]&amp;"&amp;subject=Your NSF Proposal:  "&amp;ckAwdTable[[#This Row],[prop_id]], ckAwdTable[[#This Row],[email]])</f>
        <v>pfbaldi@ics.uci.edu</v>
      </c>
      <c r="X77" s="30">
        <v>43009</v>
      </c>
      <c r="Y77">
        <v>36</v>
      </c>
      <c r="AA77" s="21" t="s">
        <v>13</v>
      </c>
      <c r="AB77" s="21" t="s">
        <v>424</v>
      </c>
      <c r="AC77"/>
      <c r="AD77" s="21" t="s">
        <v>13</v>
      </c>
      <c r="AE77" s="21" t="s">
        <v>2710</v>
      </c>
      <c r="AF77" s="124">
        <v>1484557</v>
      </c>
      <c r="AG77" s="21">
        <v>1</v>
      </c>
      <c r="AH77" s="1">
        <v>1482592</v>
      </c>
      <c r="AI77" s="1"/>
      <c r="AJ77" s="1">
        <v>12000</v>
      </c>
      <c r="AM77" s="21">
        <v>12</v>
      </c>
      <c r="AN77" s="21">
        <v>9</v>
      </c>
      <c r="AO77" s="21">
        <v>13.75</v>
      </c>
      <c r="AP77" s="21"/>
      <c r="AQ77" s="21"/>
      <c r="AR77" s="8" t="s">
        <v>1971</v>
      </c>
      <c r="AS77" s="21" t="s">
        <v>1989</v>
      </c>
      <c r="AT77" s="21" t="str">
        <f>IFERROR(IF(FIND("?",ckAwdTable[abst_narr_txt]),SummarizeQuestMarks(ckAwdTable[abst_narr_txt]),""),"")</f>
        <v/>
      </c>
      <c r="AU77" s="21"/>
      <c r="AV77" t="s">
        <v>2316</v>
      </c>
      <c r="AW77" t="b">
        <f>AND(ckAwdTable[[#This Row],[ILN]]&gt;"M", SUBSTITUTE(ckAwdTable[[#This Row],[prop_titl_txt]]," ","")&lt;&gt;SUBSTITUTE(AV76," ",""))</f>
        <v>0</v>
      </c>
      <c r="AX77" s="8" t="s">
        <v>2317</v>
      </c>
    </row>
    <row r="78" spans="1:50">
      <c r="A78" s="30">
        <v>42955.721747685187</v>
      </c>
      <c r="B78" s="30">
        <v>42809.765972222223</v>
      </c>
      <c r="C78" t="s">
        <v>1965</v>
      </c>
      <c r="D78" t="s">
        <v>741</v>
      </c>
      <c r="E78" t="s">
        <v>901</v>
      </c>
      <c r="F78" t="s">
        <v>942</v>
      </c>
      <c r="G78" s="8" t="s">
        <v>1966</v>
      </c>
      <c r="H78" s="8" t="s">
        <v>170</v>
      </c>
      <c r="I78" s="8" t="s">
        <v>2709</v>
      </c>
      <c r="J78" t="s">
        <v>94</v>
      </c>
      <c r="K78" t="s">
        <v>1967</v>
      </c>
      <c r="L78" s="22">
        <v>42954.41034722222</v>
      </c>
      <c r="M78" s="109">
        <f xml:space="preserve"> M77+(ckAwdTable[ILN]&lt;"M")</f>
        <v>55</v>
      </c>
      <c r="N78" t="s">
        <v>96</v>
      </c>
      <c r="O78" t="s">
        <v>1445</v>
      </c>
      <c r="P78" s="15" t="str">
        <f>HYPERLINK("https://www.ejacket.nsf.gov/ej/showProposal.do?ID="&amp;ckAwdTable[[#This Row],[prop_id]],"eJ")</f>
        <v>eJ</v>
      </c>
      <c r="Q78" s="8" t="s">
        <v>742</v>
      </c>
      <c r="R78" t="s">
        <v>1445</v>
      </c>
      <c r="S78" t="s">
        <v>1141</v>
      </c>
      <c r="T78" t="s">
        <v>2095</v>
      </c>
      <c r="U78" s="8" t="s">
        <v>2318</v>
      </c>
      <c r="V78" t="s">
        <v>256</v>
      </c>
      <c r="W78" s="113" t="str">
        <f>HYPERLINK("mailto:"&amp; ckAwdTable[[#This Row],[email]]&amp;"&amp;subject=Your NSF Proposal:  "&amp;ckAwdTable[[#This Row],[prop_id]], ckAwdTable[[#This Row],[email]])</f>
        <v>gilbert@cs.ucsb.edu</v>
      </c>
      <c r="X78" s="30">
        <v>42917</v>
      </c>
      <c r="Y78">
        <v>36</v>
      </c>
      <c r="AA78" s="21" t="s">
        <v>13</v>
      </c>
      <c r="AB78" s="21" t="s">
        <v>424</v>
      </c>
      <c r="AC78"/>
      <c r="AD78" s="21" t="s">
        <v>13</v>
      </c>
      <c r="AF78" s="124">
        <v>1496834</v>
      </c>
      <c r="AG78" s="21">
        <v>0</v>
      </c>
      <c r="AH78" s="1">
        <v>1496834</v>
      </c>
      <c r="AI78" s="1"/>
      <c r="AJ78" s="1"/>
      <c r="AL78" s="1">
        <v>31000</v>
      </c>
      <c r="AM78" s="21">
        <v>15</v>
      </c>
      <c r="AN78" s="21">
        <v>15</v>
      </c>
      <c r="AO78" s="21">
        <v>4.8</v>
      </c>
      <c r="AP78" s="21"/>
      <c r="AQ78" s="21"/>
      <c r="AR78" s="8" t="s">
        <v>1971</v>
      </c>
      <c r="AS78" s="21" t="s">
        <v>1989</v>
      </c>
      <c r="AT78" s="21" t="str">
        <f>IFERROR(IF(FIND("?",ckAwdTable[abst_narr_txt]),SummarizeQuestMarks(ckAwdTable[abst_narr_txt]),""),"")</f>
        <v/>
      </c>
      <c r="AU78" s="21"/>
      <c r="AV78" t="s">
        <v>2319</v>
      </c>
      <c r="AW78" t="b">
        <f>AND(ckAwdTable[[#This Row],[ILN]]&gt;"M", SUBSTITUTE(ckAwdTable[[#This Row],[prop_titl_txt]]," ","")&lt;&gt;SUBSTITUTE(AV77," ",""))</f>
        <v>0</v>
      </c>
      <c r="AX78" s="8" t="s">
        <v>2320</v>
      </c>
    </row>
    <row r="79" spans="1:50">
      <c r="A79" s="30">
        <v>42955.722673611112</v>
      </c>
      <c r="B79" s="30">
        <v>42809.783333333333</v>
      </c>
      <c r="C79" t="s">
        <v>1965</v>
      </c>
      <c r="D79" t="s">
        <v>741</v>
      </c>
      <c r="E79" t="s">
        <v>901</v>
      </c>
      <c r="F79" t="s">
        <v>942</v>
      </c>
      <c r="G79" s="8" t="s">
        <v>1966</v>
      </c>
      <c r="H79" s="8" t="s">
        <v>170</v>
      </c>
      <c r="I79" s="8" t="s">
        <v>2709</v>
      </c>
      <c r="J79" t="s">
        <v>94</v>
      </c>
      <c r="K79" t="s">
        <v>1967</v>
      </c>
      <c r="L79" s="22">
        <v>42954.403321759259</v>
      </c>
      <c r="M79" s="109">
        <f xml:space="preserve"> M78+(ckAwdTable[ILN]&lt;"M")</f>
        <v>56</v>
      </c>
      <c r="N79" t="s">
        <v>96</v>
      </c>
      <c r="O79" t="s">
        <v>1450</v>
      </c>
      <c r="P79" s="15" t="str">
        <f>HYPERLINK("https://www.ejacket.nsf.gov/ej/showProposal.do?ID="&amp;ckAwdTable[[#This Row],[prop_id]],"eJ")</f>
        <v>eJ</v>
      </c>
      <c r="Q79" s="8" t="s">
        <v>742</v>
      </c>
      <c r="R79" t="s">
        <v>1450</v>
      </c>
      <c r="S79" t="s">
        <v>1451</v>
      </c>
      <c r="T79" t="s">
        <v>2321</v>
      </c>
      <c r="U79" s="8" t="s">
        <v>2322</v>
      </c>
      <c r="V79" t="s">
        <v>108</v>
      </c>
      <c r="W79" s="113" t="str">
        <f>HYPERLINK("mailto:"&amp; ckAwdTable[[#This Row],[email]]&amp;"&amp;subject=Your NSF Proposal:  "&amp;ckAwdTable[[#This Row],[prop_id]], ckAwdTable[[#This Row],[email]])</f>
        <v>fuchang@uidaho.edu</v>
      </c>
      <c r="X79" s="30">
        <v>42917</v>
      </c>
      <c r="Y79">
        <v>36</v>
      </c>
      <c r="AA79" s="21" t="s">
        <v>13</v>
      </c>
      <c r="AB79" s="21" t="s">
        <v>424</v>
      </c>
      <c r="AC79"/>
      <c r="AD79" s="21" t="s">
        <v>13</v>
      </c>
      <c r="AF79" s="124">
        <v>1493022</v>
      </c>
      <c r="AG79" s="21">
        <v>0</v>
      </c>
      <c r="AH79" s="1">
        <v>1493022</v>
      </c>
      <c r="AI79" s="1"/>
      <c r="AJ79" s="1"/>
      <c r="AK79" s="1">
        <v>154545</v>
      </c>
      <c r="AM79" s="21">
        <v>9</v>
      </c>
      <c r="AN79" s="21">
        <v>21</v>
      </c>
      <c r="AO79" s="21"/>
      <c r="AP79" s="21"/>
      <c r="AQ79" s="21">
        <v>32.5</v>
      </c>
      <c r="AR79" s="8" t="s">
        <v>1971</v>
      </c>
      <c r="AS79" s="21" t="s">
        <v>1989</v>
      </c>
      <c r="AT79" s="21" t="str">
        <f>IFERROR(IF(FIND("?",ckAwdTable[abst_narr_txt]),SummarizeQuestMarks(ckAwdTable[abst_narr_txt]),""),"")</f>
        <v/>
      </c>
      <c r="AU79" s="21"/>
      <c r="AV79" t="s">
        <v>2323</v>
      </c>
      <c r="AW79" t="b">
        <f>AND(ckAwdTable[[#This Row],[ILN]]&gt;"M", SUBSTITUTE(ckAwdTable[[#This Row],[prop_titl_txt]]," ","")&lt;&gt;SUBSTITUTE(AV78," ",""))</f>
        <v>0</v>
      </c>
      <c r="AX79" s="8" t="s">
        <v>2324</v>
      </c>
    </row>
    <row r="80" spans="1:50">
      <c r="A80" s="30">
        <v>42930.572418981479</v>
      </c>
      <c r="B80" s="30">
        <v>42809.785416666666</v>
      </c>
      <c r="C80" t="s">
        <v>1965</v>
      </c>
      <c r="D80" t="s">
        <v>741</v>
      </c>
      <c r="E80" t="s">
        <v>901</v>
      </c>
      <c r="F80" t="s">
        <v>942</v>
      </c>
      <c r="G80" s="8" t="s">
        <v>1974</v>
      </c>
      <c r="H80" s="8" t="s">
        <v>170</v>
      </c>
      <c r="I80" s="8" t="s">
        <v>897</v>
      </c>
      <c r="J80" t="s">
        <v>94</v>
      </c>
      <c r="K80" t="s">
        <v>1967</v>
      </c>
      <c r="L80" s="22">
        <v>42930.329398148147</v>
      </c>
      <c r="M80" s="109">
        <f xml:space="preserve"> M79+(ckAwdTable[ILN]&lt;"M")</f>
        <v>57</v>
      </c>
      <c r="N80" t="s">
        <v>96</v>
      </c>
      <c r="O80" t="s">
        <v>1456</v>
      </c>
      <c r="P80" s="15" t="str">
        <f>HYPERLINK("https://www.ejacket.nsf.gov/ej/showProposal.do?ID="&amp;ckAwdTable[[#This Row],[prop_id]],"eJ")</f>
        <v>eJ</v>
      </c>
      <c r="Q80" s="8" t="s">
        <v>742</v>
      </c>
      <c r="R80" t="s">
        <v>1456</v>
      </c>
      <c r="S80" t="s">
        <v>1457</v>
      </c>
      <c r="T80" t="s">
        <v>1969</v>
      </c>
      <c r="U80" s="8" t="s">
        <v>2325</v>
      </c>
      <c r="V80" t="s">
        <v>256</v>
      </c>
      <c r="W80" s="113" t="str">
        <f>HYPERLINK("mailto:"&amp; ckAwdTable[[#This Row],[email]]&amp;"&amp;subject=Your NSF Proposal:  "&amp;ckAwdTable[[#This Row],[prop_id]], ckAwdTable[[#This Row],[email]])</f>
        <v>mmahoney@icsi.berkeley.edu</v>
      </c>
      <c r="X80" s="30">
        <v>42979</v>
      </c>
      <c r="Y80">
        <v>36</v>
      </c>
      <c r="AA80" s="21" t="s">
        <v>13</v>
      </c>
      <c r="AB80" s="21" t="s">
        <v>424</v>
      </c>
      <c r="AC80"/>
      <c r="AD80" s="21" t="s">
        <v>13</v>
      </c>
      <c r="AE80" s="21" t="s">
        <v>2710</v>
      </c>
      <c r="AF80" s="124">
        <v>1500000</v>
      </c>
      <c r="AG80" s="21">
        <v>1</v>
      </c>
      <c r="AH80" s="1">
        <v>1499999</v>
      </c>
      <c r="AI80" s="1"/>
      <c r="AJ80" s="1">
        <v>15000</v>
      </c>
      <c r="AK80" s="1">
        <v>378747</v>
      </c>
      <c r="AM80" s="21">
        <v>3</v>
      </c>
      <c r="AN80" s="21">
        <v>15</v>
      </c>
      <c r="AO80" s="21">
        <v>6</v>
      </c>
      <c r="AP80" s="21">
        <v>1</v>
      </c>
      <c r="AQ80" s="21">
        <v>3.5</v>
      </c>
      <c r="AR80" s="8" t="s">
        <v>1977</v>
      </c>
      <c r="AS80" s="21" t="s">
        <v>1989</v>
      </c>
      <c r="AT80" s="21" t="str">
        <f>IFERROR(IF(FIND("?",ckAwdTable[abst_narr_txt]),SummarizeQuestMarks(ckAwdTable[abst_narr_txt]),""),"")</f>
        <v/>
      </c>
      <c r="AU80" s="21" t="s">
        <v>1459</v>
      </c>
      <c r="AV80" t="s">
        <v>2327</v>
      </c>
      <c r="AW80" t="b">
        <f>AND(ckAwdTable[[#This Row],[ILN]]&gt;"M", SUBSTITUTE(ckAwdTable[[#This Row],[prop_titl_txt]]," ","")&lt;&gt;SUBSTITUTE(AV79," ",""))</f>
        <v>0</v>
      </c>
      <c r="AX80" s="8" t="s">
        <v>2328</v>
      </c>
    </row>
    <row r="81" spans="1:50">
      <c r="A81" s="30">
        <v>42930.588136574072</v>
      </c>
      <c r="B81" s="30">
        <v>42809.806944444441</v>
      </c>
      <c r="C81" t="s">
        <v>1965</v>
      </c>
      <c r="D81" t="s">
        <v>741</v>
      </c>
      <c r="E81" t="s">
        <v>901</v>
      </c>
      <c r="F81" t="s">
        <v>543</v>
      </c>
      <c r="G81" s="8" t="s">
        <v>1974</v>
      </c>
      <c r="H81" s="8" t="s">
        <v>170</v>
      </c>
      <c r="I81" s="8" t="s">
        <v>897</v>
      </c>
      <c r="J81" t="s">
        <v>94</v>
      </c>
      <c r="K81" t="s">
        <v>1967</v>
      </c>
      <c r="L81" s="22">
        <v>42928.658391203702</v>
      </c>
      <c r="M81" s="109">
        <f xml:space="preserve"> M80+(ckAwdTable[ILN]&lt;"M")</f>
        <v>58</v>
      </c>
      <c r="N81" t="s">
        <v>96</v>
      </c>
      <c r="O81" t="s">
        <v>1465</v>
      </c>
      <c r="P81" s="15" t="str">
        <f>HYPERLINK("https://www.ejacket.nsf.gov/ej/showProposal.do?ID="&amp;ckAwdTable[[#This Row],[prop_id]],"eJ")</f>
        <v>eJ</v>
      </c>
      <c r="Q81" s="8" t="s">
        <v>742</v>
      </c>
      <c r="R81" t="s">
        <v>1465</v>
      </c>
      <c r="S81" t="s">
        <v>1019</v>
      </c>
      <c r="T81" t="s">
        <v>2330</v>
      </c>
      <c r="U81" s="8" t="s">
        <v>2331</v>
      </c>
      <c r="V81" t="s">
        <v>2329</v>
      </c>
      <c r="W81" s="113" t="str">
        <f>HYPERLINK("mailto:"&amp; ckAwdTable[[#This Row],[email]]&amp;"&amp;subject=Your NSF Proposal:  "&amp;ckAwdTable[[#This Row],[prop_id]], ckAwdTable[[#This Row],[email]])</f>
        <v>hzhang@math.arizona.edu</v>
      </c>
      <c r="X81" s="30">
        <v>42948</v>
      </c>
      <c r="Y81">
        <v>36</v>
      </c>
      <c r="AA81" s="21" t="s">
        <v>13</v>
      </c>
      <c r="AB81" s="21" t="s">
        <v>424</v>
      </c>
      <c r="AC81"/>
      <c r="AD81" s="21" t="s">
        <v>13</v>
      </c>
      <c r="AF81" s="124">
        <v>1499999</v>
      </c>
      <c r="AG81" s="21">
        <v>1</v>
      </c>
      <c r="AH81" s="1">
        <v>1368498</v>
      </c>
      <c r="AI81" s="1"/>
      <c r="AJ81" s="1"/>
      <c r="AK81" s="1">
        <v>168409</v>
      </c>
      <c r="AL81" s="1">
        <v>135288</v>
      </c>
      <c r="AM81" s="21">
        <v>9</v>
      </c>
      <c r="AN81" s="21">
        <v>24</v>
      </c>
      <c r="AO81" s="21">
        <v>6</v>
      </c>
      <c r="AP81" s="21"/>
      <c r="AQ81" s="21"/>
      <c r="AR81" s="8" t="s">
        <v>1977</v>
      </c>
      <c r="AS81" s="21" t="s">
        <v>1989</v>
      </c>
      <c r="AT81" s="21" t="str">
        <f>IFERROR(IF(FIND("?",ckAwdTable[abst_narr_txt]),SummarizeQuestMarks(ckAwdTable[abst_narr_txt]),""),"")</f>
        <v/>
      </c>
      <c r="AU81" s="21" t="s">
        <v>1467</v>
      </c>
      <c r="AV81" t="s">
        <v>2332</v>
      </c>
      <c r="AW81" t="b">
        <f>AND(ckAwdTable[[#This Row],[ILN]]&gt;"M", SUBSTITUTE(ckAwdTable[[#This Row],[prop_titl_txt]]," ","")&lt;&gt;SUBSTITUTE(AV80," ",""))</f>
        <v>0</v>
      </c>
      <c r="AX81" s="8" t="s">
        <v>2333</v>
      </c>
    </row>
    <row r="82" spans="1:50">
      <c r="A82" s="30">
        <v>42955.723368055558</v>
      </c>
      <c r="B82" s="30">
        <v>42809.811805555553</v>
      </c>
      <c r="C82" t="s">
        <v>1965</v>
      </c>
      <c r="D82" t="s">
        <v>741</v>
      </c>
      <c r="E82" t="s">
        <v>901</v>
      </c>
      <c r="F82" t="s">
        <v>942</v>
      </c>
      <c r="G82" s="8" t="s">
        <v>1966</v>
      </c>
      <c r="H82" s="8" t="s">
        <v>170</v>
      </c>
      <c r="I82" s="8" t="s">
        <v>2709</v>
      </c>
      <c r="J82" t="s">
        <v>94</v>
      </c>
      <c r="K82" t="s">
        <v>1967</v>
      </c>
      <c r="L82" s="22">
        <v>42954.406631944446</v>
      </c>
      <c r="M82" s="109">
        <f xml:space="preserve"> M81+(ckAwdTable[ILN]&lt;"M")</f>
        <v>59</v>
      </c>
      <c r="N82" t="s">
        <v>96</v>
      </c>
      <c r="O82" t="s">
        <v>1474</v>
      </c>
      <c r="P82" s="15" t="str">
        <f>HYPERLINK("https://www.ejacket.nsf.gov/ej/showProposal.do?ID="&amp;ckAwdTable[[#This Row],[prop_id]],"eJ")</f>
        <v>eJ</v>
      </c>
      <c r="Q82" s="8" t="s">
        <v>742</v>
      </c>
      <c r="R82" t="s">
        <v>1474</v>
      </c>
      <c r="S82" t="s">
        <v>1475</v>
      </c>
      <c r="T82" t="s">
        <v>2334</v>
      </c>
      <c r="U82" s="8" t="s">
        <v>2335</v>
      </c>
      <c r="V82" t="s">
        <v>256</v>
      </c>
      <c r="W82" s="113" t="str">
        <f>HYPERLINK("mailto:"&amp; ckAwdTable[[#This Row],[email]]&amp;"&amp;subject=Your NSF Proposal:  "&amp;ckAwdTable[[#This Row],[prop_id]], ckAwdTable[[#This Row],[email]])</f>
        <v>jdwilson4@usfca.edu</v>
      </c>
      <c r="X82" s="30">
        <v>43009</v>
      </c>
      <c r="Y82">
        <v>36</v>
      </c>
      <c r="AA82" s="21" t="s">
        <v>13</v>
      </c>
      <c r="AB82" s="21" t="s">
        <v>424</v>
      </c>
      <c r="AC82"/>
      <c r="AD82" s="21" t="s">
        <v>13</v>
      </c>
      <c r="AF82" s="124">
        <v>1371814</v>
      </c>
      <c r="AG82" s="21">
        <v>0</v>
      </c>
      <c r="AH82" s="1">
        <v>1371814</v>
      </c>
      <c r="AI82" s="1"/>
      <c r="AJ82" s="1"/>
      <c r="AK82" s="1">
        <v>302400</v>
      </c>
      <c r="AL82" s="1">
        <v>138000</v>
      </c>
      <c r="AM82" s="21"/>
      <c r="AN82" s="21">
        <v>7</v>
      </c>
      <c r="AO82" s="21">
        <v>10</v>
      </c>
      <c r="AP82" s="21"/>
      <c r="AQ82" s="21"/>
      <c r="AR82" s="8" t="s">
        <v>1971</v>
      </c>
      <c r="AS82" s="21" t="s">
        <v>1989</v>
      </c>
      <c r="AT82" s="21" t="str">
        <f>IFERROR(IF(FIND("?",ckAwdTable[abst_narr_txt]),SummarizeQuestMarks(ckAwdTable[abst_narr_txt]),""),"")</f>
        <v/>
      </c>
      <c r="AU82" s="21"/>
      <c r="AV82" t="s">
        <v>2336</v>
      </c>
      <c r="AW82" t="b">
        <f>AND(ckAwdTable[[#This Row],[ILN]]&gt;"M", SUBSTITUTE(ckAwdTable[[#This Row],[prop_titl_txt]]," ","")&lt;&gt;SUBSTITUTE(AV81," ",""))</f>
        <v>0</v>
      </c>
      <c r="AX82" s="8" t="s">
        <v>2337</v>
      </c>
    </row>
    <row r="83" spans="1:50">
      <c r="A83" s="30">
        <v>42954.675567129627</v>
      </c>
      <c r="B83" s="30">
        <v>42810.679861111108</v>
      </c>
      <c r="C83" t="s">
        <v>1965</v>
      </c>
      <c r="D83" t="s">
        <v>741</v>
      </c>
      <c r="E83" t="s">
        <v>901</v>
      </c>
      <c r="F83" t="s">
        <v>543</v>
      </c>
      <c r="G83" s="8" t="s">
        <v>1966</v>
      </c>
      <c r="H83" s="8" t="s">
        <v>170</v>
      </c>
      <c r="I83" s="8" t="s">
        <v>2709</v>
      </c>
      <c r="J83" t="s">
        <v>94</v>
      </c>
      <c r="K83" t="s">
        <v>1967</v>
      </c>
      <c r="L83" s="22">
        <v>42951.484560185185</v>
      </c>
      <c r="M83" s="109">
        <f xml:space="preserve"> M82+(ckAwdTable[ILN]&lt;"M")</f>
        <v>60</v>
      </c>
      <c r="N83" t="s">
        <v>1981</v>
      </c>
      <c r="O83" t="s">
        <v>1479</v>
      </c>
      <c r="P83" s="15" t="str">
        <f>HYPERLINK("https://www.ejacket.nsf.gov/ej/showProposal.do?ID="&amp;ckAwdTable[[#This Row],[prop_id]],"eJ")</f>
        <v>eJ</v>
      </c>
      <c r="Q83" s="8" t="s">
        <v>742</v>
      </c>
      <c r="R83" t="s">
        <v>1479</v>
      </c>
      <c r="S83" t="s">
        <v>1480</v>
      </c>
      <c r="T83" t="s">
        <v>2338</v>
      </c>
      <c r="U83" s="8" t="s">
        <v>2339</v>
      </c>
      <c r="V83" t="s">
        <v>258</v>
      </c>
      <c r="W83" s="113" t="str">
        <f>HYPERLINK("mailto:"&amp; ckAwdTable[[#This Row],[email]]&amp;"&amp;subject=Your NSF Proposal:  "&amp;ckAwdTable[[#This Row],[prop_id]], ckAwdTable[[#This Row],[email]])</f>
        <v>byener@gmail.com</v>
      </c>
      <c r="X83" s="30">
        <v>42978</v>
      </c>
      <c r="Y83">
        <v>36</v>
      </c>
      <c r="AA83" s="21" t="s">
        <v>13</v>
      </c>
      <c r="AB83" s="21" t="s">
        <v>424</v>
      </c>
      <c r="AC83"/>
      <c r="AD83" s="21" t="s">
        <v>13</v>
      </c>
      <c r="AF83" s="124">
        <v>1277934</v>
      </c>
      <c r="AG83" s="21">
        <v>0</v>
      </c>
      <c r="AH83" s="1">
        <v>1277934</v>
      </c>
      <c r="AI83" s="1">
        <v>60000</v>
      </c>
      <c r="AJ83" s="1"/>
      <c r="AM83" s="21">
        <v>9</v>
      </c>
      <c r="AN83" s="21">
        <v>12</v>
      </c>
      <c r="AO83" s="21">
        <v>6.75</v>
      </c>
      <c r="AP83" s="21"/>
      <c r="AQ83" s="21">
        <v>3.6</v>
      </c>
      <c r="AR83" s="8" t="s">
        <v>1971</v>
      </c>
      <c r="AS83" s="21" t="s">
        <v>1989</v>
      </c>
      <c r="AT83" s="21" t="str">
        <f>IFERROR(IF(FIND("?",ckAwdTable[abst_narr_txt]),SummarizeQuestMarks(ckAwdTable[abst_narr_txt]),""),"")</f>
        <v/>
      </c>
      <c r="AU83" s="21"/>
      <c r="AV83" t="s">
        <v>2341</v>
      </c>
      <c r="AW83" t="b">
        <f>AND(ckAwdTable[[#This Row],[ILN]]&gt;"M", SUBSTITUTE(ckAwdTable[[#This Row],[prop_titl_txt]]," ","")&lt;&gt;SUBSTITUTE(AV82," ",""))</f>
        <v>0</v>
      </c>
      <c r="AX83" s="8" t="s">
        <v>2342</v>
      </c>
    </row>
    <row r="84" spans="1:50">
      <c r="A84" s="30">
        <v>42954.675567129627</v>
      </c>
      <c r="B84" s="30">
        <v>42809.634027777778</v>
      </c>
      <c r="C84" t="s">
        <v>1965</v>
      </c>
      <c r="D84" t="s">
        <v>741</v>
      </c>
      <c r="E84" t="s">
        <v>901</v>
      </c>
      <c r="F84" t="s">
        <v>543</v>
      </c>
      <c r="G84" s="8" t="s">
        <v>1966</v>
      </c>
      <c r="H84" s="8" t="s">
        <v>170</v>
      </c>
      <c r="I84" s="8" t="s">
        <v>2709</v>
      </c>
      <c r="J84" t="s">
        <v>94</v>
      </c>
      <c r="K84" t="s">
        <v>1967</v>
      </c>
      <c r="L84" s="22">
        <v>42951.484560185185</v>
      </c>
      <c r="M84" s="109">
        <f xml:space="preserve"> M83+(ckAwdTable[ILN]&lt;"M")</f>
        <v>60</v>
      </c>
      <c r="N84" t="s">
        <v>1989</v>
      </c>
      <c r="O84" t="s">
        <v>1479</v>
      </c>
      <c r="P84" s="15" t="str">
        <f>HYPERLINK("https://www.ejacket.nsf.gov/ej/showProposal.do?ID="&amp;ckAwdTable[[#This Row],[prop_id]],"eJ")</f>
        <v>eJ</v>
      </c>
      <c r="Q84" s="8" t="s">
        <v>742</v>
      </c>
      <c r="R84" t="s">
        <v>2343</v>
      </c>
      <c r="S84" t="s">
        <v>2344</v>
      </c>
      <c r="T84" t="s">
        <v>2345</v>
      </c>
      <c r="U84" s="8" t="s">
        <v>2346</v>
      </c>
      <c r="V84" t="s">
        <v>2182</v>
      </c>
      <c r="W84" s="113" t="str">
        <f>HYPERLINK("mailto:"&amp; ckAwdTable[[#This Row],[email]]&amp;"&amp;subject=Your NSF Proposal:  "&amp;ckAwdTable[[#This Row],[prop_id]], ckAwdTable[[#This Row],[email]])</f>
        <v>kk3ab@virginia.edu</v>
      </c>
      <c r="X84" s="30">
        <v>42978</v>
      </c>
      <c r="Y84">
        <v>36</v>
      </c>
      <c r="AA84" s="21" t="s">
        <v>13</v>
      </c>
      <c r="AB84" s="21" t="s">
        <v>424</v>
      </c>
      <c r="AC84"/>
      <c r="AD84" s="21" t="s">
        <v>13</v>
      </c>
      <c r="AF84" s="124">
        <v>222063</v>
      </c>
      <c r="AG84" s="21">
        <v>0</v>
      </c>
      <c r="AH84" s="1">
        <v>222063</v>
      </c>
      <c r="AI84" s="1"/>
      <c r="AJ84" s="1"/>
      <c r="AM84" s="21">
        <v>3</v>
      </c>
      <c r="AN84" s="21">
        <v>3</v>
      </c>
      <c r="AO84" s="21">
        <v>3</v>
      </c>
      <c r="AP84" s="21"/>
      <c r="AQ84" s="21"/>
      <c r="AR84" s="8" t="s">
        <v>1971</v>
      </c>
      <c r="AS84" s="21" t="s">
        <v>1989</v>
      </c>
      <c r="AT84" s="21" t="str">
        <f>IFERROR(IF(FIND("?",ckAwdTable[abst_narr_txt]),SummarizeQuestMarks(ckAwdTable[abst_narr_txt]),""),"")</f>
        <v/>
      </c>
      <c r="AU84" s="21"/>
      <c r="AV84" t="s">
        <v>2341</v>
      </c>
      <c r="AW84" t="b">
        <f>AND(ckAwdTable[[#This Row],[ILN]]&gt;"M", SUBSTITUTE(ckAwdTable[[#This Row],[prop_titl_txt]]," ","")&lt;&gt;SUBSTITUTE(AV83," ",""))</f>
        <v>0</v>
      </c>
      <c r="AX84" s="8" t="s">
        <v>2347</v>
      </c>
    </row>
    <row r="85" spans="1:50">
      <c r="B85" s="30">
        <v>42930.554166666669</v>
      </c>
      <c r="C85" t="s">
        <v>242</v>
      </c>
      <c r="D85" t="s">
        <v>741</v>
      </c>
      <c r="E85" t="s">
        <v>528</v>
      </c>
      <c r="F85" t="s">
        <v>540</v>
      </c>
      <c r="G85" s="8" t="s">
        <v>172</v>
      </c>
      <c r="H85" s="8" t="s">
        <v>170</v>
      </c>
      <c r="I85" s="8" t="s">
        <v>2709</v>
      </c>
      <c r="J85" t="s">
        <v>94</v>
      </c>
      <c r="K85" t="s">
        <v>743</v>
      </c>
      <c r="L85" s="22">
        <v>43076.608981481484</v>
      </c>
      <c r="M85" s="109">
        <f xml:space="preserve"> M84+(ckAwdTable[ILN]&lt;"M")</f>
        <v>61</v>
      </c>
      <c r="N85" t="s">
        <v>96</v>
      </c>
      <c r="O85" t="s">
        <v>541</v>
      </c>
      <c r="P85" s="15" t="str">
        <f>HYPERLINK("https://www.ejacket.nsf.gov/ej/showProposal.do?ID="&amp;ckAwdTable[[#This Row],[prop_id]],"eJ")</f>
        <v>eJ</v>
      </c>
      <c r="Q85" s="8" t="s">
        <v>742</v>
      </c>
      <c r="R85" t="s">
        <v>541</v>
      </c>
      <c r="S85" t="s">
        <v>542</v>
      </c>
      <c r="T85" t="s">
        <v>746</v>
      </c>
      <c r="U85" s="8" t="s">
        <v>747</v>
      </c>
      <c r="V85" t="s">
        <v>745</v>
      </c>
      <c r="W85" s="113" t="str">
        <f>HYPERLINK("mailto:"&amp; ckAwdTable[[#This Row],[email]]&amp;"&amp;subject=Your NSF Proposal:  "&amp;ckAwdTable[[#This Row],[prop_id]], ckAwdTable[[#This Row],[email]])</f>
        <v>steffen.borgwardt@ucdenver.edu</v>
      </c>
      <c r="X85" s="30">
        <v>43101</v>
      </c>
      <c r="Y85">
        <v>60</v>
      </c>
      <c r="AA85" s="21" t="s">
        <v>13</v>
      </c>
      <c r="AB85" s="21" t="s">
        <v>424</v>
      </c>
      <c r="AC85"/>
      <c r="AD85" s="21" t="s">
        <v>13</v>
      </c>
      <c r="AE85" s="21" t="s">
        <v>2710</v>
      </c>
      <c r="AF85" s="124">
        <v>470400</v>
      </c>
      <c r="AG85" s="21">
        <v>0</v>
      </c>
      <c r="AH85" s="1">
        <v>470400</v>
      </c>
      <c r="AI85" s="1"/>
      <c r="AJ85" s="1">
        <v>9600</v>
      </c>
      <c r="AM85" s="21">
        <v>5</v>
      </c>
      <c r="AN85" s="21">
        <v>5</v>
      </c>
      <c r="AO85" s="21">
        <v>7.5</v>
      </c>
      <c r="AP85" s="21"/>
      <c r="AQ85" s="21"/>
      <c r="AR85" s="8" t="s">
        <v>173</v>
      </c>
      <c r="AS85" s="21" t="s">
        <v>1989</v>
      </c>
      <c r="AT85" s="21" t="str">
        <f>IFERROR(IF(FIND("?",ckAwdTable[abst_narr_txt]),SummarizeQuestMarks(ckAwdTable[abst_narr_txt]),""),"")</f>
        <v/>
      </c>
      <c r="AU85" s="21"/>
      <c r="AV85" t="s">
        <v>749</v>
      </c>
      <c r="AW85" t="b">
        <f>AND(ckAwdTable[[#This Row],[ILN]]&gt;"M", SUBSTITUTE(ckAwdTable[[#This Row],[prop_titl_txt]]," ","")&lt;&gt;SUBSTITUTE(AV84," ",""))</f>
        <v>0</v>
      </c>
      <c r="AX85" s="8" t="s">
        <v>750</v>
      </c>
    </row>
    <row r="86" spans="1:50">
      <c r="B86" s="30">
        <v>42933.444444444445</v>
      </c>
      <c r="C86" t="s">
        <v>242</v>
      </c>
      <c r="D86" t="s">
        <v>2348</v>
      </c>
      <c r="E86" t="s">
        <v>903</v>
      </c>
      <c r="F86" t="s">
        <v>1488</v>
      </c>
      <c r="G86" s="8" t="s">
        <v>172</v>
      </c>
      <c r="H86" s="8" t="s">
        <v>170</v>
      </c>
      <c r="I86" s="8" t="s">
        <v>2709</v>
      </c>
      <c r="J86" t="s">
        <v>94</v>
      </c>
      <c r="K86" t="s">
        <v>2349</v>
      </c>
      <c r="L86" s="22">
        <v>43068.644884259258</v>
      </c>
      <c r="M86" s="109">
        <f xml:space="preserve"> M85+(ckAwdTable[ILN]&lt;"M")</f>
        <v>62</v>
      </c>
      <c r="N86" t="s">
        <v>96</v>
      </c>
      <c r="O86" t="s">
        <v>1486</v>
      </c>
      <c r="P86" s="15" t="str">
        <f>HYPERLINK("https://www.ejacket.nsf.gov/ej/showProposal.do?ID="&amp;ckAwdTable[[#This Row],[prop_id]],"eJ")</f>
        <v>eJ</v>
      </c>
      <c r="Q86" s="8" t="s">
        <v>2351</v>
      </c>
      <c r="R86" t="s">
        <v>1486</v>
      </c>
      <c r="S86" t="s">
        <v>1065</v>
      </c>
      <c r="T86" t="s">
        <v>2066</v>
      </c>
      <c r="U86" s="8" t="s">
        <v>2067</v>
      </c>
      <c r="V86" t="s">
        <v>2065</v>
      </c>
      <c r="W86" s="113" t="str">
        <f>HYPERLINK("mailto:"&amp; ckAwdTable[[#This Row],[email]]&amp;"&amp;subject=Your NSF Proposal:  "&amp;ckAwdTable[[#This Row],[prop_id]], ckAwdTable[[#This Row],[email]])</f>
        <v>tianbao-yang@uiowa.edu</v>
      </c>
      <c r="X86" s="30">
        <v>43252</v>
      </c>
      <c r="Y86">
        <v>60</v>
      </c>
      <c r="AA86" s="21" t="s">
        <v>13</v>
      </c>
      <c r="AB86" s="21" t="s">
        <v>424</v>
      </c>
      <c r="AC86"/>
      <c r="AD86" s="21" t="s">
        <v>13</v>
      </c>
      <c r="AE86" s="21" t="s">
        <v>2710</v>
      </c>
      <c r="AF86" s="124">
        <v>543913</v>
      </c>
      <c r="AG86" s="21">
        <v>0</v>
      </c>
      <c r="AH86" s="1">
        <v>543913</v>
      </c>
      <c r="AI86" s="1"/>
      <c r="AJ86" s="1">
        <v>15500</v>
      </c>
      <c r="AM86" s="21">
        <v>10</v>
      </c>
      <c r="AN86" s="21">
        <v>5</v>
      </c>
      <c r="AO86" s="21">
        <v>5</v>
      </c>
      <c r="AP86" s="21"/>
      <c r="AQ86" s="21"/>
      <c r="AR86" s="8" t="s">
        <v>2353</v>
      </c>
      <c r="AS86" s="21" t="s">
        <v>1989</v>
      </c>
      <c r="AT86" s="21" t="str">
        <f>IFERROR(IF(FIND("?",ckAwdTable[abst_narr_txt]),SummarizeQuestMarks(ckAwdTable[abst_narr_txt]),""),"")</f>
        <v/>
      </c>
      <c r="AU86" s="21"/>
      <c r="AV86" t="s">
        <v>2354</v>
      </c>
      <c r="AW86" t="b">
        <f>AND(ckAwdTable[[#This Row],[ILN]]&gt;"M", SUBSTITUTE(ckAwdTable[[#This Row],[prop_titl_txt]]," ","")&lt;&gt;SUBSTITUTE(AV85," ",""))</f>
        <v>0</v>
      </c>
      <c r="AX86" s="8" t="s">
        <v>2069</v>
      </c>
    </row>
    <row r="87" spans="1:50">
      <c r="B87" s="30">
        <v>42933.547222222223</v>
      </c>
      <c r="C87" t="s">
        <v>242</v>
      </c>
      <c r="D87" t="s">
        <v>741</v>
      </c>
      <c r="E87" t="s">
        <v>528</v>
      </c>
      <c r="F87" t="s">
        <v>540</v>
      </c>
      <c r="G87" s="8" t="s">
        <v>172</v>
      </c>
      <c r="H87" s="8" t="s">
        <v>170</v>
      </c>
      <c r="I87" s="8" t="s">
        <v>2709</v>
      </c>
      <c r="J87" t="s">
        <v>94</v>
      </c>
      <c r="K87" t="s">
        <v>743</v>
      </c>
      <c r="L87" s="22"/>
      <c r="M87" s="109">
        <f xml:space="preserve"> M86+(ckAwdTable[ILN]&lt;"M")</f>
        <v>63</v>
      </c>
      <c r="N87" t="s">
        <v>96</v>
      </c>
      <c r="O87" t="s">
        <v>565</v>
      </c>
      <c r="P87" s="15" t="str">
        <f>HYPERLINK("https://www.ejacket.nsf.gov/ej/showProposal.do?ID="&amp;ckAwdTable[[#This Row],[prop_id]],"eJ")</f>
        <v>eJ</v>
      </c>
      <c r="Q87" s="8" t="s">
        <v>742</v>
      </c>
      <c r="R87" t="s">
        <v>565</v>
      </c>
      <c r="S87" t="s">
        <v>336</v>
      </c>
      <c r="T87" t="s">
        <v>752</v>
      </c>
      <c r="U87" s="8" t="s">
        <v>753</v>
      </c>
      <c r="V87" t="s">
        <v>2192</v>
      </c>
      <c r="W87" s="113" t="str">
        <f>HYPERLINK("mailto:"&amp; ckAwdTable[[#This Row],[email]]&amp;"&amp;subject=Your NSF Proposal:  "&amp;ckAwdTable[[#This Row],[prop_id]], ckAwdTable[[#This Row],[email]])</f>
        <v>haitao.wang@usu.edu</v>
      </c>
      <c r="X87" s="30">
        <v>43221</v>
      </c>
      <c r="Y87">
        <v>60</v>
      </c>
      <c r="AA87" s="21" t="s">
        <v>13</v>
      </c>
      <c r="AB87" s="21" t="s">
        <v>424</v>
      </c>
      <c r="AC87"/>
      <c r="AD87" s="21" t="s">
        <v>13</v>
      </c>
      <c r="AE87" s="21" t="s">
        <v>2724</v>
      </c>
      <c r="AF87" s="124">
        <v>524898</v>
      </c>
      <c r="AG87" s="21">
        <v>0</v>
      </c>
      <c r="AH87" s="1">
        <v>524898</v>
      </c>
      <c r="AI87" s="1"/>
      <c r="AJ87" s="1">
        <v>15000</v>
      </c>
      <c r="AM87" s="21">
        <v>10</v>
      </c>
      <c r="AN87" s="21">
        <v>5</v>
      </c>
      <c r="AO87" s="21">
        <v>5</v>
      </c>
      <c r="AP87" s="21"/>
      <c r="AQ87" s="21"/>
      <c r="AR87" s="8" t="s">
        <v>173</v>
      </c>
      <c r="AS87" s="21" t="s">
        <v>1989</v>
      </c>
      <c r="AT87" s="21" t="str">
        <f>IFERROR(IF(FIND("?",ckAwdTable[abst_narr_txt]),SummarizeQuestMarks(ckAwdTable[abst_narr_txt]),""),"")</f>
        <v/>
      </c>
      <c r="AU87" s="21"/>
      <c r="AV87" t="s">
        <v>755</v>
      </c>
      <c r="AW87" t="b">
        <f>AND(ckAwdTable[[#This Row],[ILN]]&gt;"M", SUBSTITUTE(ckAwdTable[[#This Row],[prop_titl_txt]]," ","")&lt;&gt;SUBSTITUTE(AV86," ",""))</f>
        <v>0</v>
      </c>
      <c r="AX87" s="8" t="s">
        <v>756</v>
      </c>
    </row>
    <row r="88" spans="1:50">
      <c r="B88" s="30">
        <v>42933.579861111109</v>
      </c>
      <c r="C88" t="s">
        <v>242</v>
      </c>
      <c r="D88" t="s">
        <v>741</v>
      </c>
      <c r="E88" t="s">
        <v>528</v>
      </c>
      <c r="F88" t="s">
        <v>1530</v>
      </c>
      <c r="G88" s="8" t="s">
        <v>172</v>
      </c>
      <c r="H88" s="8" t="s">
        <v>170</v>
      </c>
      <c r="I88" s="8" t="s">
        <v>2709</v>
      </c>
      <c r="J88" t="s">
        <v>94</v>
      </c>
      <c r="K88" t="s">
        <v>743</v>
      </c>
      <c r="L88" s="22"/>
      <c r="M88" s="109">
        <f xml:space="preserve"> M87+(ckAwdTable[ILN]&lt;"M")</f>
        <v>64</v>
      </c>
      <c r="N88" t="s">
        <v>96</v>
      </c>
      <c r="O88" t="s">
        <v>1522</v>
      </c>
      <c r="P88" s="15" t="str">
        <f>HYPERLINK("https://www.ejacket.nsf.gov/ej/showProposal.do?ID="&amp;ckAwdTable[[#This Row],[prop_id]],"eJ")</f>
        <v>eJ</v>
      </c>
      <c r="Q88" s="8" t="s">
        <v>742</v>
      </c>
      <c r="R88" t="s">
        <v>1522</v>
      </c>
      <c r="S88" t="s">
        <v>1523</v>
      </c>
      <c r="T88" t="s">
        <v>789</v>
      </c>
      <c r="U88" s="8" t="s">
        <v>2127</v>
      </c>
      <c r="V88" t="s">
        <v>2107</v>
      </c>
      <c r="W88" s="113" t="str">
        <f>HYPERLINK("mailto:"&amp; ckAwdTable[[#This Row],[email]]&amp;"&amp;subject=Your NSF Proposal:  "&amp;ckAwdTable[[#This Row],[prop_id]], ckAwdTable[[#This Row],[email]])</f>
        <v>bmoseley@seas.wustl.edu</v>
      </c>
      <c r="X88" s="30">
        <v>43282</v>
      </c>
      <c r="Y88">
        <v>60</v>
      </c>
      <c r="AA88" s="21" t="s">
        <v>13</v>
      </c>
      <c r="AB88" s="21" t="s">
        <v>424</v>
      </c>
      <c r="AC88"/>
      <c r="AD88" s="21" t="s">
        <v>13</v>
      </c>
      <c r="AF88" s="124">
        <v>545000</v>
      </c>
      <c r="AG88" s="21">
        <v>0</v>
      </c>
      <c r="AH88" s="1">
        <v>545000</v>
      </c>
      <c r="AI88" s="1"/>
      <c r="AJ88" s="1"/>
      <c r="AL88" s="1">
        <v>8000</v>
      </c>
      <c r="AM88" s="21">
        <v>5</v>
      </c>
      <c r="AN88" s="21">
        <v>5</v>
      </c>
      <c r="AO88" s="21">
        <v>6.5</v>
      </c>
      <c r="AP88" s="21"/>
      <c r="AQ88" s="21"/>
      <c r="AR88" s="8" t="s">
        <v>173</v>
      </c>
      <c r="AS88" s="21" t="s">
        <v>1989</v>
      </c>
      <c r="AT88" s="21" t="str">
        <f>IFERROR(IF(FIND("?",ckAwdTable[abst_narr_txt]),SummarizeQuestMarks(ckAwdTable[abst_narr_txt]),""),"")</f>
        <v/>
      </c>
      <c r="AU88" s="21"/>
      <c r="AV88" t="s">
        <v>2356</v>
      </c>
      <c r="AW88" t="b">
        <f>AND(ckAwdTable[[#This Row],[ILN]]&gt;"M", SUBSTITUTE(ckAwdTable[[#This Row],[prop_titl_txt]]," ","")&lt;&gt;SUBSTITUTE(AV87," ",""))</f>
        <v>0</v>
      </c>
      <c r="AX88" s="8" t="s">
        <v>2357</v>
      </c>
    </row>
    <row r="89" spans="1:50">
      <c r="B89" s="30">
        <v>42933.713888888888</v>
      </c>
      <c r="C89" t="s">
        <v>242</v>
      </c>
      <c r="D89" t="s">
        <v>741</v>
      </c>
      <c r="E89" t="s">
        <v>528</v>
      </c>
      <c r="F89" t="s">
        <v>540</v>
      </c>
      <c r="G89" s="8" t="s">
        <v>172</v>
      </c>
      <c r="H89" s="8" t="s">
        <v>170</v>
      </c>
      <c r="I89" s="8" t="s">
        <v>2709</v>
      </c>
      <c r="J89" t="s">
        <v>94</v>
      </c>
      <c r="K89" t="s">
        <v>743</v>
      </c>
      <c r="L89" s="22"/>
      <c r="M89" s="109">
        <f xml:space="preserve"> M88+(ckAwdTable[ILN]&lt;"M")</f>
        <v>65</v>
      </c>
      <c r="N89" t="s">
        <v>96</v>
      </c>
      <c r="O89" t="s">
        <v>585</v>
      </c>
      <c r="P89" s="15" t="str">
        <f>HYPERLINK("https://www.ejacket.nsf.gov/ej/showProposal.do?ID="&amp;ckAwdTable[[#This Row],[prop_id]],"eJ")</f>
        <v>eJ</v>
      </c>
      <c r="Q89" s="8" t="s">
        <v>742</v>
      </c>
      <c r="R89" t="s">
        <v>585</v>
      </c>
      <c r="S89" t="s">
        <v>586</v>
      </c>
      <c r="T89" t="s">
        <v>757</v>
      </c>
      <c r="U89" s="8" t="s">
        <v>247</v>
      </c>
      <c r="V89" t="s">
        <v>254</v>
      </c>
      <c r="W89" s="113" t="str">
        <f>HYPERLINK("mailto:"&amp; ckAwdTable[[#This Row],[email]]&amp;"&amp;subject=Your NSF Proposal:  "&amp;ckAwdTable[[#This Row],[prop_id]], ckAwdTable[[#This Row],[email]])</f>
        <v>delpia@wisc.edu</v>
      </c>
      <c r="X89" s="30">
        <v>43344</v>
      </c>
      <c r="Y89">
        <v>60</v>
      </c>
      <c r="AA89" s="21" t="s">
        <v>13</v>
      </c>
      <c r="AB89" s="21" t="s">
        <v>424</v>
      </c>
      <c r="AC89"/>
      <c r="AD89" s="21" t="s">
        <v>13</v>
      </c>
      <c r="AE89" s="21" t="s">
        <v>2710</v>
      </c>
      <c r="AF89" s="124">
        <v>500000</v>
      </c>
      <c r="AG89" s="21">
        <v>0</v>
      </c>
      <c r="AH89" s="1">
        <v>500000</v>
      </c>
      <c r="AI89" s="1"/>
      <c r="AJ89" s="1">
        <v>12416</v>
      </c>
      <c r="AM89" s="21">
        <v>5</v>
      </c>
      <c r="AN89" s="21">
        <v>5</v>
      </c>
      <c r="AO89" s="21">
        <v>5</v>
      </c>
      <c r="AP89" s="21"/>
      <c r="AQ89" s="21"/>
      <c r="AR89" s="8" t="s">
        <v>173</v>
      </c>
      <c r="AS89" s="21" t="s">
        <v>1989</v>
      </c>
      <c r="AT89" s="21" t="str">
        <f>IFERROR(IF(FIND("?",ckAwdTable[abst_narr_txt]),SummarizeQuestMarks(ckAwdTable[abst_narr_txt]),""),"")</f>
        <v/>
      </c>
      <c r="AU89" s="21"/>
      <c r="AV89" t="s">
        <v>759</v>
      </c>
      <c r="AW89" t="b">
        <f>AND(ckAwdTable[[#This Row],[ILN]]&gt;"M", SUBSTITUTE(ckAwdTable[[#This Row],[prop_titl_txt]]," ","")&lt;&gt;SUBSTITUTE(AV88," ",""))</f>
        <v>0</v>
      </c>
      <c r="AX89" s="8" t="s">
        <v>760</v>
      </c>
    </row>
    <row r="90" spans="1:50">
      <c r="B90" s="30">
        <v>42933.820138888892</v>
      </c>
      <c r="C90" t="s">
        <v>242</v>
      </c>
      <c r="D90" t="s">
        <v>741</v>
      </c>
      <c r="E90" t="s">
        <v>528</v>
      </c>
      <c r="F90" t="s">
        <v>540</v>
      </c>
      <c r="G90" s="8" t="s">
        <v>172</v>
      </c>
      <c r="H90" s="8" t="s">
        <v>170</v>
      </c>
      <c r="I90" s="8" t="s">
        <v>2709</v>
      </c>
      <c r="J90" t="s">
        <v>94</v>
      </c>
      <c r="K90" t="s">
        <v>743</v>
      </c>
      <c r="L90" s="22"/>
      <c r="M90" s="109">
        <f xml:space="preserve"> M89+(ckAwdTable[ILN]&lt;"M")</f>
        <v>66</v>
      </c>
      <c r="N90" t="s">
        <v>96</v>
      </c>
      <c r="O90" t="s">
        <v>596</v>
      </c>
      <c r="P90" s="15" t="str">
        <f>HYPERLINK("https://www.ejacket.nsf.gov/ej/showProposal.do?ID="&amp;ckAwdTable[[#This Row],[prop_id]],"eJ")</f>
        <v>eJ</v>
      </c>
      <c r="Q90" s="8" t="s">
        <v>742</v>
      </c>
      <c r="R90" t="s">
        <v>596</v>
      </c>
      <c r="S90" t="s">
        <v>337</v>
      </c>
      <c r="T90" t="s">
        <v>761</v>
      </c>
      <c r="U90" s="8" t="s">
        <v>244</v>
      </c>
      <c r="V90" t="s">
        <v>255</v>
      </c>
      <c r="W90" s="113" t="str">
        <f>HYPERLINK("mailto:"&amp; ckAwdTable[[#This Row],[email]]&amp;"&amp;subject=Your NSF Proposal:  "&amp;ckAwdTable[[#This Row],[prop_id]], ckAwdTable[[#This Row],[email]])</f>
        <v>yintat@uw.edu</v>
      </c>
      <c r="X90" s="30">
        <v>43175</v>
      </c>
      <c r="Y90">
        <v>60</v>
      </c>
      <c r="AA90" s="21" t="s">
        <v>13</v>
      </c>
      <c r="AB90" s="21" t="s">
        <v>424</v>
      </c>
      <c r="AC90"/>
      <c r="AD90" s="21" t="s">
        <v>13</v>
      </c>
      <c r="AF90" s="124">
        <v>549841</v>
      </c>
      <c r="AG90" s="21">
        <v>0</v>
      </c>
      <c r="AH90" s="1">
        <v>549841</v>
      </c>
      <c r="AI90" s="1"/>
      <c r="AJ90" s="1"/>
      <c r="AM90" s="21">
        <v>5</v>
      </c>
      <c r="AN90" s="21">
        <v>5</v>
      </c>
      <c r="AO90" s="21">
        <v>2.5</v>
      </c>
      <c r="AP90" s="21"/>
      <c r="AQ90" s="21">
        <v>2.5</v>
      </c>
      <c r="AR90" s="8" t="s">
        <v>173</v>
      </c>
      <c r="AS90" s="21" t="s">
        <v>1989</v>
      </c>
      <c r="AT90" s="21" t="str">
        <f>IFERROR(IF(FIND("?",ckAwdTable[abst_narr_txt]),SummarizeQuestMarks(ckAwdTable[abst_narr_txt]),""),"")</f>
        <v/>
      </c>
      <c r="AU90" s="21"/>
      <c r="AV90" t="s">
        <v>763</v>
      </c>
      <c r="AW90" t="b">
        <f>AND(ckAwdTable[[#This Row],[ILN]]&gt;"M", SUBSTITUTE(ckAwdTable[[#This Row],[prop_titl_txt]]," ","")&lt;&gt;SUBSTITUTE(AV89," ",""))</f>
        <v>0</v>
      </c>
      <c r="AX90" s="8" t="s">
        <v>764</v>
      </c>
    </row>
    <row r="91" spans="1:50">
      <c r="B91" s="30">
        <v>42934.453472222223</v>
      </c>
      <c r="C91" t="s">
        <v>242</v>
      </c>
      <c r="D91" t="s">
        <v>741</v>
      </c>
      <c r="E91" t="s">
        <v>528</v>
      </c>
      <c r="F91" t="s">
        <v>1530</v>
      </c>
      <c r="G91" s="8" t="s">
        <v>172</v>
      </c>
      <c r="H91" s="8" t="s">
        <v>170</v>
      </c>
      <c r="I91" s="8" t="s">
        <v>2709</v>
      </c>
      <c r="J91" t="s">
        <v>94</v>
      </c>
      <c r="K91" t="s">
        <v>743</v>
      </c>
      <c r="L91" s="22"/>
      <c r="M91" s="109">
        <f xml:space="preserve"> M90+(ckAwdTable[ILN]&lt;"M")</f>
        <v>67</v>
      </c>
      <c r="N91" t="s">
        <v>96</v>
      </c>
      <c r="O91" t="s">
        <v>1532</v>
      </c>
      <c r="P91" s="15" t="str">
        <f>HYPERLINK("https://www.ejacket.nsf.gov/ej/showProposal.do?ID="&amp;ckAwdTable[[#This Row],[prop_id]],"eJ")</f>
        <v>eJ</v>
      </c>
      <c r="Q91" s="8" t="s">
        <v>742</v>
      </c>
      <c r="R91" t="s">
        <v>1532</v>
      </c>
      <c r="S91" t="s">
        <v>1533</v>
      </c>
      <c r="T91" t="s">
        <v>2358</v>
      </c>
      <c r="U91" s="8" t="s">
        <v>2359</v>
      </c>
      <c r="V91" t="s">
        <v>256</v>
      </c>
      <c r="W91" s="113" t="str">
        <f>HYPERLINK("mailto:"&amp; ckAwdTable[[#This Row],[email]]&amp;"&amp;subject=Your NSF Proposal:  "&amp;ckAwdTable[[#This Row],[prop_id]], ckAwdTable[[#This Row],[email]])</f>
        <v>sim3@ucmerced.edu</v>
      </c>
      <c r="X91" s="30">
        <v>43282</v>
      </c>
      <c r="Y91">
        <v>60</v>
      </c>
      <c r="AA91" s="21" t="s">
        <v>13</v>
      </c>
      <c r="AB91" s="21" t="s">
        <v>424</v>
      </c>
      <c r="AC91"/>
      <c r="AD91" s="21" t="s">
        <v>13</v>
      </c>
      <c r="AF91" s="124">
        <v>514477</v>
      </c>
      <c r="AG91" s="21">
        <v>0</v>
      </c>
      <c r="AH91" s="1">
        <v>514477</v>
      </c>
      <c r="AI91" s="1"/>
      <c r="AJ91" s="1"/>
      <c r="AM91" s="21">
        <v>10</v>
      </c>
      <c r="AN91" s="21">
        <v>4</v>
      </c>
      <c r="AO91" s="21">
        <v>7</v>
      </c>
      <c r="AP91" s="21"/>
      <c r="AQ91" s="21"/>
      <c r="AR91" s="8" t="s">
        <v>173</v>
      </c>
      <c r="AS91" s="21" t="s">
        <v>1989</v>
      </c>
      <c r="AT91" s="21" t="str">
        <f>IFERROR(IF(FIND("?",ckAwdTable[abst_narr_txt]),SummarizeQuestMarks(ckAwdTable[abst_narr_txt]),""),"")</f>
        <v/>
      </c>
      <c r="AU91" s="21"/>
      <c r="AV91" t="s">
        <v>2360</v>
      </c>
      <c r="AW91" t="b">
        <f>AND(ckAwdTable[[#This Row],[ILN]]&gt;"M", SUBSTITUTE(ckAwdTable[[#This Row],[prop_titl_txt]]," ","")&lt;&gt;SUBSTITUTE(AV90," ",""))</f>
        <v>0</v>
      </c>
      <c r="AX91" s="8" t="s">
        <v>2361</v>
      </c>
    </row>
    <row r="92" spans="1:50">
      <c r="B92" s="30">
        <v>42934.507638888892</v>
      </c>
      <c r="C92" t="s">
        <v>242</v>
      </c>
      <c r="D92" t="s">
        <v>741</v>
      </c>
      <c r="E92" t="s">
        <v>528</v>
      </c>
      <c r="F92" t="s">
        <v>1530</v>
      </c>
      <c r="G92" s="8" t="s">
        <v>172</v>
      </c>
      <c r="H92" s="8" t="s">
        <v>170</v>
      </c>
      <c r="I92" s="8" t="s">
        <v>2709</v>
      </c>
      <c r="J92" t="s">
        <v>94</v>
      </c>
      <c r="K92" t="s">
        <v>743</v>
      </c>
      <c r="L92" s="22"/>
      <c r="M92" s="109">
        <f xml:space="preserve"> M91+(ckAwdTable[ILN]&lt;"M")</f>
        <v>68</v>
      </c>
      <c r="N92" t="s">
        <v>96</v>
      </c>
      <c r="O92" t="s">
        <v>1540</v>
      </c>
      <c r="P92" s="15" t="str">
        <f>HYPERLINK("https://www.ejacket.nsf.gov/ej/showProposal.do?ID="&amp;ckAwdTable[[#This Row],[prop_id]],"eJ")</f>
        <v>eJ</v>
      </c>
      <c r="Q92" s="8" t="s">
        <v>742</v>
      </c>
      <c r="R92" t="s">
        <v>1540</v>
      </c>
      <c r="S92" t="s">
        <v>1541</v>
      </c>
      <c r="T92" t="s">
        <v>2362</v>
      </c>
      <c r="U92" s="8" t="s">
        <v>2035</v>
      </c>
      <c r="V92" t="s">
        <v>256</v>
      </c>
      <c r="W92" s="113" t="str">
        <f>HYPERLINK("mailto:"&amp; ckAwdTable[[#This Row],[email]]&amp;"&amp;subject=Your NSF Proposal:  "&amp;ckAwdTable[[#This Row],[prop_id]], ckAwdTable[[#This Row],[email]])</f>
        <v>sidford@stanford.edu</v>
      </c>
      <c r="X92" s="30">
        <v>43009</v>
      </c>
      <c r="Y92">
        <v>60</v>
      </c>
      <c r="AA92" s="21" t="s">
        <v>13</v>
      </c>
      <c r="AB92" s="21" t="s">
        <v>424</v>
      </c>
      <c r="AC92"/>
      <c r="AD92" s="21" t="s">
        <v>13</v>
      </c>
      <c r="AF92" s="124">
        <v>500000</v>
      </c>
      <c r="AG92" s="21">
        <v>0</v>
      </c>
      <c r="AH92" s="1">
        <v>500000</v>
      </c>
      <c r="AI92" s="1"/>
      <c r="AJ92" s="1"/>
      <c r="AL92" s="1">
        <v>7500</v>
      </c>
      <c r="AM92" s="21">
        <v>5</v>
      </c>
      <c r="AN92" s="21">
        <v>5</v>
      </c>
      <c r="AO92" s="21">
        <v>6.75</v>
      </c>
      <c r="AP92" s="21"/>
      <c r="AQ92" s="21"/>
      <c r="AR92" s="8" t="s">
        <v>173</v>
      </c>
      <c r="AS92" s="21" t="s">
        <v>1989</v>
      </c>
      <c r="AT92" s="21" t="str">
        <f>IFERROR(IF(FIND("?",ckAwdTable[abst_narr_txt]),SummarizeQuestMarks(ckAwdTable[abst_narr_txt]),""),"")</f>
        <v/>
      </c>
      <c r="AU92" s="21"/>
      <c r="AV92" t="s">
        <v>2363</v>
      </c>
      <c r="AW92" t="b">
        <f>AND(ckAwdTable[[#This Row],[ILN]]&gt;"M", SUBSTITUTE(ckAwdTable[[#This Row],[prop_titl_txt]]," ","")&lt;&gt;SUBSTITUTE(AV91," ",""))</f>
        <v>0</v>
      </c>
      <c r="AX92" s="8" t="s">
        <v>2364</v>
      </c>
    </row>
    <row r="93" spans="1:50">
      <c r="B93" s="30">
        <v>42934.524305555555</v>
      </c>
      <c r="C93" t="s">
        <v>242</v>
      </c>
      <c r="D93" t="s">
        <v>741</v>
      </c>
      <c r="E93" t="s">
        <v>528</v>
      </c>
      <c r="F93" t="s">
        <v>543</v>
      </c>
      <c r="G93" s="8" t="s">
        <v>172</v>
      </c>
      <c r="H93" s="8" t="s">
        <v>170</v>
      </c>
      <c r="I93" s="8" t="s">
        <v>2709</v>
      </c>
      <c r="J93" t="s">
        <v>94</v>
      </c>
      <c r="K93" t="s">
        <v>743</v>
      </c>
      <c r="L93" s="22"/>
      <c r="M93" s="109">
        <f xml:space="preserve"> M92+(ckAwdTable[ILN]&lt;"M")</f>
        <v>69</v>
      </c>
      <c r="N93" t="s">
        <v>96</v>
      </c>
      <c r="O93" t="s">
        <v>1547</v>
      </c>
      <c r="P93" s="15" t="str">
        <f>HYPERLINK("https://www.ejacket.nsf.gov/ej/showProposal.do?ID="&amp;ckAwdTable[[#This Row],[prop_id]],"eJ")</f>
        <v>eJ</v>
      </c>
      <c r="Q93" s="8" t="s">
        <v>742</v>
      </c>
      <c r="R93" t="s">
        <v>1547</v>
      </c>
      <c r="S93" t="s">
        <v>1548</v>
      </c>
      <c r="T93" t="s">
        <v>2366</v>
      </c>
      <c r="U93" s="8" t="s">
        <v>2101</v>
      </c>
      <c r="V93" t="s">
        <v>258</v>
      </c>
      <c r="W93" s="113" t="str">
        <f>HYPERLINK("mailto:"&amp; ckAwdTable[[#This Row],[email]]&amp;"&amp;subject=Your NSF Proposal:  "&amp;ckAwdTable[[#This Row],[prop_id]], ckAwdTable[[#This Row],[email]])</f>
        <v>omri@cs.columbia.edu</v>
      </c>
      <c r="X93" s="30">
        <v>42979</v>
      </c>
      <c r="Y93">
        <v>60</v>
      </c>
      <c r="AA93" s="21" t="s">
        <v>13</v>
      </c>
      <c r="AB93" s="21" t="s">
        <v>424</v>
      </c>
      <c r="AC93"/>
      <c r="AD93" s="21" t="s">
        <v>13</v>
      </c>
      <c r="AF93" s="124">
        <v>400000</v>
      </c>
      <c r="AG93" s="21">
        <v>0</v>
      </c>
      <c r="AH93" s="1">
        <v>400000</v>
      </c>
      <c r="AI93" s="1"/>
      <c r="AJ93" s="1"/>
      <c r="AM93" s="21">
        <v>3</v>
      </c>
      <c r="AN93" s="21">
        <v>5</v>
      </c>
      <c r="AO93" s="21">
        <v>1</v>
      </c>
      <c r="AP93" s="21"/>
      <c r="AQ93" s="21">
        <v>3.5</v>
      </c>
      <c r="AR93" s="8" t="s">
        <v>173</v>
      </c>
      <c r="AS93" s="21" t="s">
        <v>1989</v>
      </c>
      <c r="AT93" s="21" t="str">
        <f>IFERROR(IF(FIND("?",ckAwdTable[abst_narr_txt]),SummarizeQuestMarks(ckAwdTable[abst_narr_txt]),""),"")</f>
        <v/>
      </c>
      <c r="AU93" s="21"/>
      <c r="AV93" t="s">
        <v>2368</v>
      </c>
      <c r="AW93" t="b">
        <f>AND(ckAwdTable[[#This Row],[ILN]]&gt;"M", SUBSTITUTE(ckAwdTable[[#This Row],[prop_titl_txt]]," ","")&lt;&gt;SUBSTITUTE(AV92," ",""))</f>
        <v>0</v>
      </c>
      <c r="AX93" s="8" t="s">
        <v>2369</v>
      </c>
    </row>
    <row r="94" spans="1:50">
      <c r="B94" s="30">
        <v>42934.524305555555</v>
      </c>
      <c r="C94" t="s">
        <v>242</v>
      </c>
      <c r="D94" t="s">
        <v>741</v>
      </c>
      <c r="E94" t="s">
        <v>528</v>
      </c>
      <c r="F94" t="s">
        <v>543</v>
      </c>
      <c r="G94" s="8" t="s">
        <v>172</v>
      </c>
      <c r="H94" s="8" t="s">
        <v>170</v>
      </c>
      <c r="I94" s="8" t="s">
        <v>2709</v>
      </c>
      <c r="J94" t="s">
        <v>94</v>
      </c>
      <c r="K94" t="s">
        <v>743</v>
      </c>
      <c r="L94" s="22"/>
      <c r="M94" s="109">
        <f xml:space="preserve"> M93+(ckAwdTable[ILN]&lt;"M")</f>
        <v>70</v>
      </c>
      <c r="N94" t="s">
        <v>96</v>
      </c>
      <c r="O94" t="s">
        <v>603</v>
      </c>
      <c r="P94" s="15" t="str">
        <f>HYPERLINK("https://www.ejacket.nsf.gov/ej/showProposal.do?ID="&amp;ckAwdTable[[#This Row],[prop_id]],"eJ")</f>
        <v>eJ</v>
      </c>
      <c r="Q94" s="8" t="s">
        <v>742</v>
      </c>
      <c r="R94" t="s">
        <v>603</v>
      </c>
      <c r="S94" t="s">
        <v>604</v>
      </c>
      <c r="T94" t="s">
        <v>765</v>
      </c>
      <c r="U94" s="8" t="s">
        <v>339</v>
      </c>
      <c r="V94" t="s">
        <v>340</v>
      </c>
      <c r="W94" s="113" t="str">
        <f>HYPERLINK("mailto:"&amp; ckAwdTable[[#This Row],[email]]&amp;"&amp;subject=Your NSF Proposal:  "&amp;ckAwdTable[[#This Row],[prop_id]], ckAwdTable[[#This Row],[email]])</f>
        <v>karthe@illinois.edu</v>
      </c>
      <c r="X94" s="30">
        <v>43115</v>
      </c>
      <c r="Y94">
        <v>60</v>
      </c>
      <c r="AA94" s="21" t="s">
        <v>13</v>
      </c>
      <c r="AB94" s="21" t="s">
        <v>424</v>
      </c>
      <c r="AC94"/>
      <c r="AD94" s="21" t="s">
        <v>13</v>
      </c>
      <c r="AE94" s="21" t="s">
        <v>2710</v>
      </c>
      <c r="AF94" s="124">
        <v>446040</v>
      </c>
      <c r="AG94" s="21">
        <v>0</v>
      </c>
      <c r="AH94" s="1">
        <v>446040</v>
      </c>
      <c r="AI94" s="1"/>
      <c r="AJ94" s="1">
        <v>20000</v>
      </c>
      <c r="AM94" s="21">
        <v>5</v>
      </c>
      <c r="AN94" s="21">
        <v>5</v>
      </c>
      <c r="AO94" s="21">
        <v>5</v>
      </c>
      <c r="AP94" s="21"/>
      <c r="AQ94" s="21"/>
      <c r="AR94" s="8" t="s">
        <v>173</v>
      </c>
      <c r="AS94" s="21" t="s">
        <v>1989</v>
      </c>
      <c r="AT94" s="21" t="str">
        <f>IFERROR(IF(FIND("?",ckAwdTable[abst_narr_txt]),SummarizeQuestMarks(ckAwdTable[abst_narr_txt]),""),"")</f>
        <v/>
      </c>
      <c r="AU94" s="21"/>
      <c r="AV94" t="s">
        <v>767</v>
      </c>
      <c r="AW94" t="b">
        <f>AND(ckAwdTable[[#This Row],[ILN]]&gt;"M", SUBSTITUTE(ckAwdTable[[#This Row],[prop_titl_txt]]," ","")&lt;&gt;SUBSTITUTE(AV93," ",""))</f>
        <v>0</v>
      </c>
      <c r="AX94" s="8" t="s">
        <v>768</v>
      </c>
    </row>
    <row r="95" spans="1:50">
      <c r="B95" s="30">
        <v>42934.625694444447</v>
      </c>
      <c r="C95" t="s">
        <v>242</v>
      </c>
      <c r="D95" t="s">
        <v>741</v>
      </c>
      <c r="E95" t="s">
        <v>528</v>
      </c>
      <c r="F95" t="s">
        <v>540</v>
      </c>
      <c r="G95" s="8" t="s">
        <v>172</v>
      </c>
      <c r="H95" s="8" t="s">
        <v>170</v>
      </c>
      <c r="I95" s="8" t="s">
        <v>2709</v>
      </c>
      <c r="J95" t="s">
        <v>94</v>
      </c>
      <c r="K95" t="s">
        <v>743</v>
      </c>
      <c r="L95" s="22"/>
      <c r="M95" s="109">
        <f xml:space="preserve"> M94+(ckAwdTable[ILN]&lt;"M")</f>
        <v>71</v>
      </c>
      <c r="N95" t="s">
        <v>96</v>
      </c>
      <c r="O95" t="s">
        <v>617</v>
      </c>
      <c r="P95" s="15" t="str">
        <f>HYPERLINK("https://www.ejacket.nsf.gov/ej/showProposal.do?ID="&amp;ckAwdTable[[#This Row],[prop_id]],"eJ")</f>
        <v>eJ</v>
      </c>
      <c r="Q95" s="8" t="s">
        <v>742</v>
      </c>
      <c r="R95" t="s">
        <v>617</v>
      </c>
      <c r="S95" t="s">
        <v>618</v>
      </c>
      <c r="T95" t="s">
        <v>769</v>
      </c>
      <c r="U95" s="8" t="s">
        <v>770</v>
      </c>
      <c r="V95" t="s">
        <v>258</v>
      </c>
      <c r="W95" s="113" t="str">
        <f>HYPERLINK("mailto:"&amp; ckAwdTable[[#This Row],[email]]&amp;"&amp;subject=Your NSF Proposal:  "&amp;ckAwdTable[[#This Row],[prop_id]], ckAwdTable[[#This Row],[email]])</f>
        <v>francesco@cs.stonybrook.edu</v>
      </c>
      <c r="X95" s="30">
        <v>43101</v>
      </c>
      <c r="Y95">
        <v>60</v>
      </c>
      <c r="AA95" s="21" t="s">
        <v>13</v>
      </c>
      <c r="AB95" s="21" t="s">
        <v>424</v>
      </c>
      <c r="AC95"/>
      <c r="AD95" s="21" t="s">
        <v>13</v>
      </c>
      <c r="AE95" s="21" t="s">
        <v>2710</v>
      </c>
      <c r="AF95" s="124">
        <v>516750</v>
      </c>
      <c r="AG95" s="21">
        <v>0</v>
      </c>
      <c r="AH95" s="1">
        <v>516750</v>
      </c>
      <c r="AI95" s="1"/>
      <c r="AJ95" s="1">
        <v>10000</v>
      </c>
      <c r="AM95" s="21">
        <v>9</v>
      </c>
      <c r="AN95" s="21">
        <v>5</v>
      </c>
      <c r="AO95" s="21">
        <v>5</v>
      </c>
      <c r="AP95" s="21"/>
      <c r="AQ95" s="21"/>
      <c r="AR95" s="8" t="s">
        <v>173</v>
      </c>
      <c r="AS95" s="21" t="s">
        <v>1989</v>
      </c>
      <c r="AT95" s="21" t="str">
        <f>IFERROR(IF(FIND("?",ckAwdTable[abst_narr_txt]),SummarizeQuestMarks(ckAwdTable[abst_narr_txt]),""),"")</f>
        <v/>
      </c>
      <c r="AU95" s="21"/>
      <c r="AV95" t="s">
        <v>772</v>
      </c>
      <c r="AW95" t="b">
        <f>AND(ckAwdTable[[#This Row],[ILN]]&gt;"M", SUBSTITUTE(ckAwdTable[[#This Row],[prop_titl_txt]]," ","")&lt;&gt;SUBSTITUTE(AV94," ",""))</f>
        <v>0</v>
      </c>
      <c r="AX95" s="8" t="s">
        <v>773</v>
      </c>
    </row>
    <row r="96" spans="1:50">
      <c r="B96" s="30">
        <v>42934.695138888892</v>
      </c>
      <c r="C96" t="s">
        <v>242</v>
      </c>
      <c r="D96" t="s">
        <v>741</v>
      </c>
      <c r="E96" t="s">
        <v>528</v>
      </c>
      <c r="F96" t="s">
        <v>540</v>
      </c>
      <c r="G96" s="8" t="s">
        <v>172</v>
      </c>
      <c r="H96" s="8" t="s">
        <v>170</v>
      </c>
      <c r="I96" s="8" t="s">
        <v>2709</v>
      </c>
      <c r="J96" t="s">
        <v>94</v>
      </c>
      <c r="K96" t="s">
        <v>743</v>
      </c>
      <c r="L96" s="22"/>
      <c r="M96" s="109">
        <f xml:space="preserve"> M95+(ckAwdTable[ILN]&lt;"M")</f>
        <v>72</v>
      </c>
      <c r="N96" t="s">
        <v>96</v>
      </c>
      <c r="O96" t="s">
        <v>639</v>
      </c>
      <c r="P96" s="15" t="str">
        <f>HYPERLINK("https://www.ejacket.nsf.gov/ej/showProposal.do?ID="&amp;ckAwdTable[[#This Row],[prop_id]],"eJ")</f>
        <v>eJ</v>
      </c>
      <c r="Q96" s="8" t="s">
        <v>742</v>
      </c>
      <c r="R96" t="s">
        <v>639</v>
      </c>
      <c r="S96" t="s">
        <v>640</v>
      </c>
      <c r="T96" t="s">
        <v>774</v>
      </c>
      <c r="U96" s="8" t="s">
        <v>775</v>
      </c>
      <c r="V96" t="s">
        <v>257</v>
      </c>
      <c r="W96" s="113" t="str">
        <f>HYPERLINK("mailto:"&amp; ckAwdTable[[#This Row],[email]]&amp;"&amp;subject=Your NSF Proposal:  "&amp;ckAwdTable[[#This Row],[prop_id]], ckAwdTable[[#This Row],[email]])</f>
        <v>jsolomon@mit.edu</v>
      </c>
      <c r="X96" s="30">
        <v>43101</v>
      </c>
      <c r="Y96">
        <v>60</v>
      </c>
      <c r="AA96" s="21" t="s">
        <v>13</v>
      </c>
      <c r="AB96" s="21" t="s">
        <v>424</v>
      </c>
      <c r="AC96"/>
      <c r="AD96" s="21" t="s">
        <v>13</v>
      </c>
      <c r="AF96" s="124">
        <v>550000</v>
      </c>
      <c r="AG96" s="21">
        <v>0</v>
      </c>
      <c r="AH96" s="1">
        <v>550000</v>
      </c>
      <c r="AI96" s="1"/>
      <c r="AJ96" s="1"/>
      <c r="AM96" s="21">
        <v>5</v>
      </c>
      <c r="AN96" s="21">
        <v>5</v>
      </c>
      <c r="AO96" s="21">
        <v>2.5</v>
      </c>
      <c r="AP96" s="21"/>
      <c r="AQ96" s="21"/>
      <c r="AR96" s="8" t="s">
        <v>173</v>
      </c>
      <c r="AS96" s="21" t="s">
        <v>1989</v>
      </c>
      <c r="AT96" s="21" t="str">
        <f>IFERROR(IF(FIND("?",ckAwdTable[abst_narr_txt]),SummarizeQuestMarks(ckAwdTable[abst_narr_txt]),""),"")</f>
        <v/>
      </c>
      <c r="AU96" s="21"/>
      <c r="AV96" t="s">
        <v>777</v>
      </c>
      <c r="AW96" t="b">
        <f>AND(ckAwdTable[[#This Row],[ILN]]&gt;"M", SUBSTITUTE(ckAwdTable[[#This Row],[prop_titl_txt]]," ","")&lt;&gt;SUBSTITUTE(AV95," ",""))</f>
        <v>0</v>
      </c>
      <c r="AX96" s="8" t="s">
        <v>778</v>
      </c>
    </row>
    <row r="97" spans="2:50">
      <c r="B97" s="30">
        <v>42934.734722222223</v>
      </c>
      <c r="C97" t="s">
        <v>242</v>
      </c>
      <c r="D97" t="s">
        <v>741</v>
      </c>
      <c r="E97" t="s">
        <v>528</v>
      </c>
      <c r="F97" t="s">
        <v>543</v>
      </c>
      <c r="G97" s="8" t="s">
        <v>172</v>
      </c>
      <c r="H97" s="8" t="s">
        <v>170</v>
      </c>
      <c r="I97" s="8" t="s">
        <v>2709</v>
      </c>
      <c r="J97" t="s">
        <v>94</v>
      </c>
      <c r="K97" t="s">
        <v>743</v>
      </c>
      <c r="L97" s="22"/>
      <c r="M97" s="109">
        <f xml:space="preserve"> M96+(ckAwdTable[ILN]&lt;"M")</f>
        <v>73</v>
      </c>
      <c r="N97" t="s">
        <v>96</v>
      </c>
      <c r="O97" t="s">
        <v>1560</v>
      </c>
      <c r="P97" s="15" t="str">
        <f>HYPERLINK("https://www.ejacket.nsf.gov/ej/showProposal.do?ID="&amp;ckAwdTable[[#This Row],[prop_id]],"eJ")</f>
        <v>eJ</v>
      </c>
      <c r="Q97" s="8" t="s">
        <v>742</v>
      </c>
      <c r="R97" t="s">
        <v>1560</v>
      </c>
      <c r="S97" t="s">
        <v>1561</v>
      </c>
      <c r="T97" t="s">
        <v>774</v>
      </c>
      <c r="U97" s="8" t="s">
        <v>2003</v>
      </c>
      <c r="V97" t="s">
        <v>2001</v>
      </c>
      <c r="W97" s="113" t="str">
        <f>HYPERLINK("mailto:"&amp; ckAwdTable[[#This Row],[email]]&amp;"&amp;subject=Your NSF Proposal:  "&amp;ckAwdTable[[#This Row],[prop_id]], ckAwdTable[[#This Row],[email]])</f>
        <v>jt1157@georgetown.edu</v>
      </c>
      <c r="X97" s="30">
        <v>43252</v>
      </c>
      <c r="Y97">
        <v>60</v>
      </c>
      <c r="AA97" s="21" t="s">
        <v>13</v>
      </c>
      <c r="AB97" s="21" t="s">
        <v>424</v>
      </c>
      <c r="AC97"/>
      <c r="AD97" s="21" t="s">
        <v>13</v>
      </c>
      <c r="AE97" s="21" t="s">
        <v>2710</v>
      </c>
      <c r="AF97" s="124">
        <v>525636</v>
      </c>
      <c r="AG97" s="21">
        <v>0</v>
      </c>
      <c r="AH97" s="1">
        <v>525636</v>
      </c>
      <c r="AI97" s="1"/>
      <c r="AJ97" s="1">
        <v>12500</v>
      </c>
      <c r="AM97" s="21">
        <v>4</v>
      </c>
      <c r="AN97" s="21">
        <v>5</v>
      </c>
      <c r="AO97" s="21">
        <v>7</v>
      </c>
      <c r="AP97" s="21"/>
      <c r="AQ97" s="21"/>
      <c r="AR97" s="8" t="s">
        <v>173</v>
      </c>
      <c r="AS97" s="21" t="s">
        <v>1989</v>
      </c>
      <c r="AT97" s="21" t="str">
        <f>IFERROR(IF(FIND("?",ckAwdTable[abst_narr_txt]),SummarizeQuestMarks(ckAwdTable[abst_narr_txt]),""),"")</f>
        <v/>
      </c>
      <c r="AU97" s="21"/>
      <c r="AV97" t="s">
        <v>2370</v>
      </c>
      <c r="AW97" t="b">
        <f>AND(ckAwdTable[[#This Row],[ILN]]&gt;"M", SUBSTITUTE(ckAwdTable[[#This Row],[prop_titl_txt]]," ","")&lt;&gt;SUBSTITUTE(AV96," ",""))</f>
        <v>0</v>
      </c>
      <c r="AX97" s="8" t="s">
        <v>2371</v>
      </c>
    </row>
    <row r="98" spans="2:50">
      <c r="B98" s="30">
        <v>42934.737500000003</v>
      </c>
      <c r="C98" t="s">
        <v>242</v>
      </c>
      <c r="D98" t="s">
        <v>741</v>
      </c>
      <c r="E98" t="s">
        <v>528</v>
      </c>
      <c r="F98" t="s">
        <v>543</v>
      </c>
      <c r="G98" s="8" t="s">
        <v>172</v>
      </c>
      <c r="H98" s="8" t="s">
        <v>170</v>
      </c>
      <c r="I98" s="8" t="s">
        <v>2709</v>
      </c>
      <c r="J98" t="s">
        <v>94</v>
      </c>
      <c r="K98" t="s">
        <v>743</v>
      </c>
      <c r="L98" s="22"/>
      <c r="M98" s="109">
        <f xml:space="preserve"> M97+(ckAwdTable[ILN]&lt;"M")</f>
        <v>74</v>
      </c>
      <c r="N98" t="s">
        <v>96</v>
      </c>
      <c r="O98" t="s">
        <v>647</v>
      </c>
      <c r="P98" s="15" t="str">
        <f>HYPERLINK("https://www.ejacket.nsf.gov/ej/showProposal.do?ID="&amp;ckAwdTable[[#This Row],[prop_id]],"eJ")</f>
        <v>eJ</v>
      </c>
      <c r="Q98" s="8" t="s">
        <v>742</v>
      </c>
      <c r="R98" t="s">
        <v>647</v>
      </c>
      <c r="S98" t="s">
        <v>648</v>
      </c>
      <c r="T98" t="s">
        <v>780</v>
      </c>
      <c r="U98" s="8" t="s">
        <v>339</v>
      </c>
      <c r="V98" t="s">
        <v>340</v>
      </c>
      <c r="W98" s="113" t="str">
        <f>HYPERLINK("mailto:"&amp; ckAwdTable[[#This Row],[email]]&amp;"&amp;subject=Your NSF Proposal:  "&amp;ckAwdTable[[#This Row],[prop_id]], ckAwdTable[[#This Row],[email]])</f>
        <v>solomon2@illinois.edu</v>
      </c>
      <c r="X98" s="30">
        <v>43132</v>
      </c>
      <c r="Y98">
        <v>60</v>
      </c>
      <c r="AA98" s="21" t="s">
        <v>13</v>
      </c>
      <c r="AB98" s="21" t="s">
        <v>424</v>
      </c>
      <c r="AC98"/>
      <c r="AD98" s="21" t="s">
        <v>13</v>
      </c>
      <c r="AE98" s="21" t="s">
        <v>2710</v>
      </c>
      <c r="AF98" s="124">
        <v>524117</v>
      </c>
      <c r="AG98" s="21">
        <v>0</v>
      </c>
      <c r="AH98" s="1">
        <v>524117</v>
      </c>
      <c r="AI98" s="1"/>
      <c r="AJ98" s="1">
        <v>11250</v>
      </c>
      <c r="AM98" s="21">
        <v>5</v>
      </c>
      <c r="AN98" s="21">
        <v>5</v>
      </c>
      <c r="AO98" s="21">
        <v>2.5</v>
      </c>
      <c r="AP98" s="21"/>
      <c r="AQ98" s="21"/>
      <c r="AR98" s="8" t="s">
        <v>173</v>
      </c>
      <c r="AS98" s="21" t="s">
        <v>1989</v>
      </c>
      <c r="AT98" s="21" t="str">
        <f>IFERROR(IF(FIND("?",ckAwdTable[abst_narr_txt]),SummarizeQuestMarks(ckAwdTable[abst_narr_txt]),""),"")</f>
        <v/>
      </c>
      <c r="AU98" s="21"/>
      <c r="AV98" t="s">
        <v>782</v>
      </c>
      <c r="AW98" t="b">
        <f>AND(ckAwdTable[[#This Row],[ILN]]&gt;"M", SUBSTITUTE(ckAwdTable[[#This Row],[prop_titl_txt]]," ","")&lt;&gt;SUBSTITUTE(AV97," ",""))</f>
        <v>0</v>
      </c>
      <c r="AX98" s="8" t="s">
        <v>783</v>
      </c>
    </row>
    <row r="99" spans="2:50">
      <c r="B99" s="30">
        <v>42934.806944444441</v>
      </c>
      <c r="C99" t="s">
        <v>242</v>
      </c>
      <c r="D99" t="s">
        <v>741</v>
      </c>
      <c r="E99" t="s">
        <v>528</v>
      </c>
      <c r="F99" t="s">
        <v>1530</v>
      </c>
      <c r="G99" s="8" t="s">
        <v>172</v>
      </c>
      <c r="H99" s="8" t="s">
        <v>170</v>
      </c>
      <c r="I99" s="8" t="s">
        <v>2709</v>
      </c>
      <c r="J99" t="s">
        <v>94</v>
      </c>
      <c r="K99" t="s">
        <v>743</v>
      </c>
      <c r="L99" s="22"/>
      <c r="M99" s="109">
        <f xml:space="preserve"> M98+(ckAwdTable[ILN]&lt;"M")</f>
        <v>75</v>
      </c>
      <c r="N99" t="s">
        <v>96</v>
      </c>
      <c r="O99" t="s">
        <v>1571</v>
      </c>
      <c r="P99" s="15" t="str">
        <f>HYPERLINK("https://www.ejacket.nsf.gov/ej/showProposal.do?ID="&amp;ckAwdTable[[#This Row],[prop_id]],"eJ")</f>
        <v>eJ</v>
      </c>
      <c r="Q99" s="8" t="s">
        <v>742</v>
      </c>
      <c r="R99" t="s">
        <v>1571</v>
      </c>
      <c r="S99" t="s">
        <v>1572</v>
      </c>
      <c r="T99" t="s">
        <v>2372</v>
      </c>
      <c r="U99" s="8" t="s">
        <v>2373</v>
      </c>
      <c r="V99" t="s">
        <v>256</v>
      </c>
      <c r="W99" s="113" t="str">
        <f>HYPERLINK("mailto:"&amp; ckAwdTable[[#This Row],[email]]&amp;"&amp;subject=Your NSF Proposal:  "&amp;ckAwdTable[[#This Row],[prop_id]], ckAwdTable[[#This Row],[email]])</f>
        <v>razaviya@usc.edu</v>
      </c>
      <c r="X99" s="30">
        <v>43236</v>
      </c>
      <c r="Y99">
        <v>60</v>
      </c>
      <c r="AA99" s="21" t="s">
        <v>13</v>
      </c>
      <c r="AB99" s="21" t="s">
        <v>424</v>
      </c>
      <c r="AC99"/>
      <c r="AD99" s="21" t="s">
        <v>13</v>
      </c>
      <c r="AE99" s="21" t="s">
        <v>2710</v>
      </c>
      <c r="AF99" s="124">
        <v>539673</v>
      </c>
      <c r="AG99" s="21">
        <v>0</v>
      </c>
      <c r="AH99" s="1">
        <v>539673</v>
      </c>
      <c r="AI99" s="1"/>
      <c r="AJ99" s="1"/>
      <c r="AL99" s="1">
        <v>13000</v>
      </c>
      <c r="AM99" s="21">
        <v>5</v>
      </c>
      <c r="AN99" s="21">
        <v>5</v>
      </c>
      <c r="AO99" s="21">
        <v>5</v>
      </c>
      <c r="AP99" s="21"/>
      <c r="AQ99" s="21"/>
      <c r="AR99" s="8" t="s">
        <v>173</v>
      </c>
      <c r="AS99" s="21" t="s">
        <v>1989</v>
      </c>
      <c r="AT99" s="21" t="str">
        <f>IFERROR(IF(FIND("?",ckAwdTable[abst_narr_txt]),SummarizeQuestMarks(ckAwdTable[abst_narr_txt]),""),"")</f>
        <v/>
      </c>
      <c r="AU99" s="21"/>
      <c r="AV99" t="s">
        <v>2375</v>
      </c>
      <c r="AW99" t="b">
        <f>AND(ckAwdTable[[#This Row],[ILN]]&gt;"M", SUBSTITUTE(ckAwdTable[[#This Row],[prop_titl_txt]]," ","")&lt;&gt;SUBSTITUTE(AV98," ",""))</f>
        <v>0</v>
      </c>
      <c r="AX99" s="8" t="s">
        <v>2376</v>
      </c>
    </row>
    <row r="100" spans="2:50">
      <c r="B100" s="30">
        <v>42934.808333333334</v>
      </c>
      <c r="C100" t="s">
        <v>242</v>
      </c>
      <c r="D100" t="s">
        <v>741</v>
      </c>
      <c r="E100" t="s">
        <v>528</v>
      </c>
      <c r="F100" t="s">
        <v>540</v>
      </c>
      <c r="G100" s="8" t="s">
        <v>172</v>
      </c>
      <c r="H100" s="8" t="s">
        <v>170</v>
      </c>
      <c r="I100" s="8" t="s">
        <v>2709</v>
      </c>
      <c r="J100" t="s">
        <v>94</v>
      </c>
      <c r="K100" t="s">
        <v>743</v>
      </c>
      <c r="L100" s="22">
        <v>43076.609027777777</v>
      </c>
      <c r="M100" s="109">
        <f xml:space="preserve"> M99+(ckAwdTable[ILN]&lt;"M")</f>
        <v>76</v>
      </c>
      <c r="N100" t="s">
        <v>96</v>
      </c>
      <c r="O100" t="s">
        <v>658</v>
      </c>
      <c r="P100" s="15" t="str">
        <f>HYPERLINK("https://www.ejacket.nsf.gov/ej/showProposal.do?ID="&amp;ckAwdTable[[#This Row],[prop_id]],"eJ")</f>
        <v>eJ</v>
      </c>
      <c r="Q100" s="8" t="s">
        <v>742</v>
      </c>
      <c r="R100" t="s">
        <v>658</v>
      </c>
      <c r="S100" t="s">
        <v>659</v>
      </c>
      <c r="T100" t="s">
        <v>785</v>
      </c>
      <c r="U100" s="8" t="s">
        <v>341</v>
      </c>
      <c r="V100" t="s">
        <v>256</v>
      </c>
      <c r="W100" s="113" t="str">
        <f>HYPERLINK("mailto:"&amp; ckAwdTable[[#This Row],[email]]&amp;"&amp;subject=Your NSF Proposal:  "&amp;ckAwdTable[[#This Row],[prop_id]], ckAwdTable[[#This Row],[email]])</f>
        <v>craig@ucr.edu</v>
      </c>
      <c r="X100" s="30">
        <v>43101</v>
      </c>
      <c r="Y100">
        <v>60</v>
      </c>
      <c r="AA100" s="21" t="s">
        <v>13</v>
      </c>
      <c r="AB100" s="21" t="s">
        <v>424</v>
      </c>
      <c r="AC100"/>
      <c r="AD100" s="21" t="s">
        <v>13</v>
      </c>
      <c r="AF100" s="124">
        <v>440331</v>
      </c>
      <c r="AG100" s="21">
        <v>0</v>
      </c>
      <c r="AH100" s="1">
        <v>440331</v>
      </c>
      <c r="AI100" s="1"/>
      <c r="AJ100" s="1"/>
      <c r="AM100" s="21">
        <v>5</v>
      </c>
      <c r="AN100" s="21">
        <v>5</v>
      </c>
      <c r="AO100" s="21">
        <v>5</v>
      </c>
      <c r="AP100" s="21"/>
      <c r="AQ100" s="21"/>
      <c r="AR100" s="8" t="s">
        <v>173</v>
      </c>
      <c r="AS100" s="21" t="s">
        <v>1989</v>
      </c>
      <c r="AT100" s="21" t="str">
        <f>IFERROR(IF(FIND("?",ckAwdTable[abst_narr_txt]),SummarizeQuestMarks(ckAwdTable[abst_narr_txt]),""),"")</f>
        <v/>
      </c>
      <c r="AU100" s="21"/>
      <c r="AV100" t="s">
        <v>787</v>
      </c>
      <c r="AW100" t="b">
        <f>AND(ckAwdTable[[#This Row],[ILN]]&gt;"M", SUBSTITUTE(ckAwdTable[[#This Row],[prop_titl_txt]]," ","")&lt;&gt;SUBSTITUTE(AV99," ",""))</f>
        <v>0</v>
      </c>
      <c r="AX100" s="8" t="s">
        <v>788</v>
      </c>
    </row>
    <row r="101" spans="2:50">
      <c r="B101" s="30">
        <v>42935.359027777777</v>
      </c>
      <c r="C101" t="s">
        <v>242</v>
      </c>
      <c r="D101" t="s">
        <v>741</v>
      </c>
      <c r="E101" t="s">
        <v>528</v>
      </c>
      <c r="F101" t="s">
        <v>1530</v>
      </c>
      <c r="G101" s="8" t="s">
        <v>172</v>
      </c>
      <c r="H101" s="8" t="s">
        <v>170</v>
      </c>
      <c r="I101" s="8" t="s">
        <v>2709</v>
      </c>
      <c r="J101" t="s">
        <v>94</v>
      </c>
      <c r="K101" t="s">
        <v>743</v>
      </c>
      <c r="L101" s="22"/>
      <c r="M101" s="109">
        <f xml:space="preserve"> M100+(ckAwdTable[ILN]&lt;"M")</f>
        <v>77</v>
      </c>
      <c r="N101" t="s">
        <v>96</v>
      </c>
      <c r="O101" t="s">
        <v>1608</v>
      </c>
      <c r="P101" s="15" t="str">
        <f>HYPERLINK("https://www.ejacket.nsf.gov/ej/showProposal.do?ID="&amp;ckAwdTable[[#This Row],[prop_id]],"eJ")</f>
        <v>eJ</v>
      </c>
      <c r="Q101" s="8" t="s">
        <v>742</v>
      </c>
      <c r="R101" t="s">
        <v>1608</v>
      </c>
      <c r="S101" t="s">
        <v>1609</v>
      </c>
      <c r="T101" t="s">
        <v>2377</v>
      </c>
      <c r="U101" s="8" t="s">
        <v>2144</v>
      </c>
      <c r="V101" t="s">
        <v>258</v>
      </c>
      <c r="W101" s="113" t="str">
        <f>HYPERLINK("mailto:"&amp; ckAwdTable[[#This Row],[email]]&amp;"&amp;subject=Your NSF Proposal:  "&amp;ckAwdTable[[#This Row],[prop_id]], ckAwdTable[[#This Row],[email]])</f>
        <v>shil@buffalo.edu</v>
      </c>
      <c r="X101" s="30">
        <v>43344</v>
      </c>
      <c r="Y101">
        <v>60</v>
      </c>
      <c r="AA101" s="21" t="s">
        <v>13</v>
      </c>
      <c r="AB101" s="21" t="s">
        <v>424</v>
      </c>
      <c r="AC101"/>
      <c r="AD101" s="21" t="s">
        <v>13</v>
      </c>
      <c r="AE101" s="21" t="s">
        <v>2725</v>
      </c>
      <c r="AF101" s="124">
        <v>530842</v>
      </c>
      <c r="AG101" s="21">
        <v>0</v>
      </c>
      <c r="AH101" s="1">
        <v>530842</v>
      </c>
      <c r="AI101" s="1"/>
      <c r="AJ101" s="1">
        <v>10000</v>
      </c>
      <c r="AM101" s="21">
        <v>5</v>
      </c>
      <c r="AN101" s="21">
        <v>5</v>
      </c>
      <c r="AO101" s="21">
        <v>5</v>
      </c>
      <c r="AP101" s="21"/>
      <c r="AQ101" s="21"/>
      <c r="AR101" s="8" t="s">
        <v>173</v>
      </c>
      <c r="AS101" s="21" t="s">
        <v>1989</v>
      </c>
      <c r="AT101" s="21" t="str">
        <f>IFERROR(IF(FIND("?",ckAwdTable[abst_narr_txt]),SummarizeQuestMarks(ckAwdTable[abst_narr_txt]),""),"")</f>
        <v/>
      </c>
      <c r="AU101" s="21"/>
      <c r="AV101" t="s">
        <v>2379</v>
      </c>
      <c r="AW101" t="b">
        <f>AND(ckAwdTable[[#This Row],[ILN]]&gt;"M", SUBSTITUTE(ckAwdTable[[#This Row],[prop_titl_txt]]," ","")&lt;&gt;SUBSTITUTE(AV100," ",""))</f>
        <v>0</v>
      </c>
      <c r="AX101" s="8" t="s">
        <v>2380</v>
      </c>
    </row>
    <row r="102" spans="2:50">
      <c r="B102" s="30">
        <v>42935.374305555553</v>
      </c>
      <c r="C102" t="s">
        <v>242</v>
      </c>
      <c r="D102" t="s">
        <v>741</v>
      </c>
      <c r="E102" t="s">
        <v>528</v>
      </c>
      <c r="F102" t="s">
        <v>1530</v>
      </c>
      <c r="G102" s="8" t="s">
        <v>172</v>
      </c>
      <c r="H102" s="8" t="s">
        <v>170</v>
      </c>
      <c r="I102" s="8" t="s">
        <v>2709</v>
      </c>
      <c r="J102" t="s">
        <v>94</v>
      </c>
      <c r="K102" t="s">
        <v>743</v>
      </c>
      <c r="L102" s="22"/>
      <c r="M102" s="109">
        <f xml:space="preserve"> M101+(ckAwdTable[ILN]&lt;"M")</f>
        <v>78</v>
      </c>
      <c r="N102" t="s">
        <v>96</v>
      </c>
      <c r="O102" t="s">
        <v>1616</v>
      </c>
      <c r="P102" s="15" t="str">
        <f>HYPERLINK("https://www.ejacket.nsf.gov/ej/showProposal.do?ID="&amp;ckAwdTable[[#This Row],[prop_id]],"eJ")</f>
        <v>eJ</v>
      </c>
      <c r="Q102" s="8" t="s">
        <v>742</v>
      </c>
      <c r="R102" t="s">
        <v>1616</v>
      </c>
      <c r="S102" t="s">
        <v>1617</v>
      </c>
      <c r="T102" t="s">
        <v>2381</v>
      </c>
      <c r="U102" s="8" t="s">
        <v>342</v>
      </c>
      <c r="V102" t="s">
        <v>343</v>
      </c>
      <c r="W102" s="113" t="str">
        <f>HYPERLINK("mailto:"&amp; ckAwdTable[[#This Row],[email]]&amp;"&amp;subject=Your NSF Proposal:  "&amp;ckAwdTable[[#This Row],[prop_id]], ckAwdTable[[#This Row],[email]])</f>
        <v>viswa@umich.edu</v>
      </c>
      <c r="X102" s="30">
        <v>43221</v>
      </c>
      <c r="Y102">
        <v>60</v>
      </c>
      <c r="AA102" s="21" t="s">
        <v>13</v>
      </c>
      <c r="AB102" s="21" t="s">
        <v>424</v>
      </c>
      <c r="AC102"/>
      <c r="AD102" s="21" t="s">
        <v>13</v>
      </c>
      <c r="AF102" s="124">
        <v>524840</v>
      </c>
      <c r="AG102" s="21">
        <v>0</v>
      </c>
      <c r="AH102" s="1">
        <v>524840</v>
      </c>
      <c r="AI102" s="1"/>
      <c r="AJ102" s="1"/>
      <c r="AL102" s="1">
        <v>3000</v>
      </c>
      <c r="AM102" s="21">
        <v>5</v>
      </c>
      <c r="AN102" s="21">
        <v>5</v>
      </c>
      <c r="AO102" s="21">
        <v>5</v>
      </c>
      <c r="AP102" s="21"/>
      <c r="AQ102" s="21"/>
      <c r="AR102" s="8" t="s">
        <v>173</v>
      </c>
      <c r="AS102" s="21" t="s">
        <v>1989</v>
      </c>
      <c r="AT102" s="21" t="str">
        <f>IFERROR(IF(FIND("?",ckAwdTable[abst_narr_txt]),SummarizeQuestMarks(ckAwdTable[abst_narr_txt]),""),"")</f>
        <v/>
      </c>
      <c r="AU102" s="21"/>
      <c r="AV102" t="s">
        <v>2382</v>
      </c>
      <c r="AW102" t="b">
        <f>AND(ckAwdTable[[#This Row],[ILN]]&gt;"M", SUBSTITUTE(ckAwdTable[[#This Row],[prop_titl_txt]]," ","")&lt;&gt;SUBSTITUTE(AV101," ",""))</f>
        <v>0</v>
      </c>
      <c r="AX102" s="8" t="s">
        <v>2383</v>
      </c>
    </row>
    <row r="103" spans="2:50">
      <c r="B103" s="30">
        <v>42935.387499999997</v>
      </c>
      <c r="C103" t="s">
        <v>242</v>
      </c>
      <c r="D103" t="s">
        <v>741</v>
      </c>
      <c r="E103" t="s">
        <v>528</v>
      </c>
      <c r="F103" t="s">
        <v>1530</v>
      </c>
      <c r="G103" s="8" t="s">
        <v>172</v>
      </c>
      <c r="H103" s="8" t="s">
        <v>170</v>
      </c>
      <c r="I103" s="8" t="s">
        <v>2709</v>
      </c>
      <c r="J103" t="s">
        <v>94</v>
      </c>
      <c r="K103" t="s">
        <v>743</v>
      </c>
      <c r="L103" s="22"/>
      <c r="M103" s="109">
        <f xml:space="preserve"> M102+(ckAwdTable[ILN]&lt;"M")</f>
        <v>79</v>
      </c>
      <c r="N103" t="s">
        <v>96</v>
      </c>
      <c r="O103" t="s">
        <v>1624</v>
      </c>
      <c r="P103" s="15" t="str">
        <f>HYPERLINK("https://www.ejacket.nsf.gov/ej/showProposal.do?ID="&amp;ckAwdTable[[#This Row],[prop_id]],"eJ")</f>
        <v>eJ</v>
      </c>
      <c r="Q103" s="8" t="s">
        <v>742</v>
      </c>
      <c r="R103" t="s">
        <v>1624</v>
      </c>
      <c r="S103" t="s">
        <v>1625</v>
      </c>
      <c r="T103" t="s">
        <v>2384</v>
      </c>
      <c r="U103" s="8" t="s">
        <v>2198</v>
      </c>
      <c r="V103" t="s">
        <v>344</v>
      </c>
      <c r="W103" s="113" t="str">
        <f>HYPERLINK("mailto:"&amp; ckAwdTable[[#This Row],[email]]&amp;"&amp;subject=Your NSF Proposal:  "&amp;ckAwdTable[[#This Row],[prop_id]], ckAwdTable[[#This Row],[email]])</f>
        <v>debmalya.panigrahi@gmail.com</v>
      </c>
      <c r="X103" s="30">
        <v>43160</v>
      </c>
      <c r="Y103">
        <v>60</v>
      </c>
      <c r="AA103" s="21" t="s">
        <v>13</v>
      </c>
      <c r="AB103" s="21" t="s">
        <v>424</v>
      </c>
      <c r="AC103"/>
      <c r="AD103" s="21" t="s">
        <v>13</v>
      </c>
      <c r="AE103" s="21" t="s">
        <v>2710</v>
      </c>
      <c r="AF103" s="124">
        <v>602288</v>
      </c>
      <c r="AG103" s="21">
        <v>0</v>
      </c>
      <c r="AH103" s="1">
        <v>602288</v>
      </c>
      <c r="AI103" s="1"/>
      <c r="AJ103" s="1">
        <v>21026</v>
      </c>
      <c r="AL103" s="1">
        <v>16000</v>
      </c>
      <c r="AM103" s="21">
        <v>5</v>
      </c>
      <c r="AN103" s="21">
        <v>5</v>
      </c>
      <c r="AO103" s="21">
        <v>7</v>
      </c>
      <c r="AP103" s="21"/>
      <c r="AQ103" s="21"/>
      <c r="AR103" s="8" t="s">
        <v>173</v>
      </c>
      <c r="AS103" s="21" t="s">
        <v>1989</v>
      </c>
      <c r="AT103" s="21" t="str">
        <f>IFERROR(IF(FIND("?",ckAwdTable[abst_narr_txt]),SummarizeQuestMarks(ckAwdTable[abst_narr_txt]),""),"")</f>
        <v/>
      </c>
      <c r="AU103" s="21"/>
      <c r="AV103" t="s">
        <v>2386</v>
      </c>
      <c r="AW103" t="b">
        <f>AND(ckAwdTable[[#This Row],[ILN]]&gt;"M", SUBSTITUTE(ckAwdTable[[#This Row],[prop_titl_txt]]," ","")&lt;&gt;SUBSTITUTE(AV102," ",""))</f>
        <v>0</v>
      </c>
      <c r="AX103" s="8" t="s">
        <v>2387</v>
      </c>
    </row>
    <row r="104" spans="2:50">
      <c r="B104" s="30">
        <v>42935.475694444445</v>
      </c>
      <c r="C104" t="s">
        <v>242</v>
      </c>
      <c r="D104" t="s">
        <v>741</v>
      </c>
      <c r="E104" t="s">
        <v>528</v>
      </c>
      <c r="F104" t="s">
        <v>1530</v>
      </c>
      <c r="G104" s="8" t="s">
        <v>172</v>
      </c>
      <c r="H104" s="8" t="s">
        <v>170</v>
      </c>
      <c r="I104" s="8" t="s">
        <v>2709</v>
      </c>
      <c r="J104" t="s">
        <v>94</v>
      </c>
      <c r="K104" t="s">
        <v>743</v>
      </c>
      <c r="L104" s="22"/>
      <c r="M104" s="109">
        <f xml:space="preserve"> M103+(ckAwdTable[ILN]&lt;"M")</f>
        <v>80</v>
      </c>
      <c r="N104" t="s">
        <v>96</v>
      </c>
      <c r="O104" t="s">
        <v>1632</v>
      </c>
      <c r="P104" s="15" t="str">
        <f>HYPERLINK("https://www.ejacket.nsf.gov/ej/showProposal.do?ID="&amp;ckAwdTable[[#This Row],[prop_id]],"eJ")</f>
        <v>eJ</v>
      </c>
      <c r="Q104" s="8" t="s">
        <v>742</v>
      </c>
      <c r="R104" t="s">
        <v>1632</v>
      </c>
      <c r="S104" t="s">
        <v>1633</v>
      </c>
      <c r="T104" t="s">
        <v>1969</v>
      </c>
      <c r="U104" s="8" t="s">
        <v>1983</v>
      </c>
      <c r="V104" t="s">
        <v>1980</v>
      </c>
      <c r="W104" s="113" t="str">
        <f>HYPERLINK("mailto:"&amp; ckAwdTable[[#This Row],[email]]&amp;"&amp;subject=Your NSF Proposal:  "&amp;ckAwdTable[[#This Row],[prop_id]], ckAwdTable[[#This Row],[email]])</f>
        <v>mdinitz@cs.jhu.edu</v>
      </c>
      <c r="X104" s="30">
        <v>43282</v>
      </c>
      <c r="Y104">
        <v>60</v>
      </c>
      <c r="AA104" s="21" t="s">
        <v>13</v>
      </c>
      <c r="AB104" s="21" t="s">
        <v>424</v>
      </c>
      <c r="AC104"/>
      <c r="AD104" s="21" t="s">
        <v>13</v>
      </c>
      <c r="AE104" s="21" t="s">
        <v>2710</v>
      </c>
      <c r="AF104" s="124">
        <v>507459</v>
      </c>
      <c r="AG104" s="21">
        <v>0</v>
      </c>
      <c r="AH104" s="1">
        <v>507459</v>
      </c>
      <c r="AI104" s="1"/>
      <c r="AJ104" s="1">
        <v>4200</v>
      </c>
      <c r="AM104" s="21">
        <v>5</v>
      </c>
      <c r="AN104" s="21">
        <v>5</v>
      </c>
      <c r="AO104" s="21"/>
      <c r="AP104" s="21"/>
      <c r="AQ104" s="21">
        <v>5</v>
      </c>
      <c r="AR104" s="8" t="s">
        <v>173</v>
      </c>
      <c r="AS104" s="21" t="s">
        <v>1989</v>
      </c>
      <c r="AT104" s="21" t="str">
        <f>IFERROR(IF(FIND("?",ckAwdTable[abst_narr_txt]),SummarizeQuestMarks(ckAwdTable[abst_narr_txt]),""),"")</f>
        <v/>
      </c>
      <c r="AU104" s="21"/>
      <c r="AV104" t="s">
        <v>2389</v>
      </c>
      <c r="AW104" t="b">
        <f>AND(ckAwdTable[[#This Row],[ILN]]&gt;"M", SUBSTITUTE(ckAwdTable[[#This Row],[prop_titl_txt]]," ","")&lt;&gt;SUBSTITUTE(AV103," ",""))</f>
        <v>0</v>
      </c>
      <c r="AX104" s="8" t="s">
        <v>2390</v>
      </c>
    </row>
    <row r="105" spans="2:50">
      <c r="B105" s="30">
        <v>42935.488888888889</v>
      </c>
      <c r="C105" t="s">
        <v>242</v>
      </c>
      <c r="D105" t="s">
        <v>741</v>
      </c>
      <c r="E105" t="s">
        <v>528</v>
      </c>
      <c r="F105" t="s">
        <v>1530</v>
      </c>
      <c r="G105" s="8" t="s">
        <v>172</v>
      </c>
      <c r="H105" s="8" t="s">
        <v>170</v>
      </c>
      <c r="I105" s="8" t="s">
        <v>2709</v>
      </c>
      <c r="J105" t="s">
        <v>94</v>
      </c>
      <c r="K105" t="s">
        <v>743</v>
      </c>
      <c r="L105" s="22"/>
      <c r="M105" s="109">
        <f xml:space="preserve"> M104+(ckAwdTable[ILN]&lt;"M")</f>
        <v>81</v>
      </c>
      <c r="N105" t="s">
        <v>96</v>
      </c>
      <c r="O105" t="s">
        <v>1640</v>
      </c>
      <c r="P105" s="15" t="str">
        <f>HYPERLINK("https://www.ejacket.nsf.gov/ej/showProposal.do?ID="&amp;ckAwdTable[[#This Row],[prop_id]],"eJ")</f>
        <v>eJ</v>
      </c>
      <c r="Q105" s="8" t="s">
        <v>742</v>
      </c>
      <c r="R105" t="s">
        <v>1640</v>
      </c>
      <c r="S105" t="s">
        <v>1641</v>
      </c>
      <c r="T105" t="s">
        <v>2391</v>
      </c>
      <c r="U105" s="8" t="s">
        <v>2287</v>
      </c>
      <c r="V105" t="s">
        <v>257</v>
      </c>
      <c r="W105" s="113" t="str">
        <f>HYPERLINK("mailto:"&amp; ckAwdTable[[#This Row],[email]]&amp;"&amp;subject=Your NSF Proposal:  "&amp;ckAwdTable[[#This Row],[prop_id]], ckAwdTable[[#This Row],[email]])</f>
        <v>aene@bu.edu</v>
      </c>
      <c r="X105" s="30">
        <v>43101</v>
      </c>
      <c r="Y105">
        <v>60</v>
      </c>
      <c r="AA105" s="21" t="s">
        <v>13</v>
      </c>
      <c r="AB105" s="21" t="s">
        <v>424</v>
      </c>
      <c r="AC105"/>
      <c r="AD105" s="21" t="s">
        <v>13</v>
      </c>
      <c r="AE105" s="21" t="s">
        <v>2710</v>
      </c>
      <c r="AF105" s="124">
        <v>507423</v>
      </c>
      <c r="AG105" s="21">
        <v>0</v>
      </c>
      <c r="AH105" s="1">
        <v>507423</v>
      </c>
      <c r="AI105" s="1"/>
      <c r="AJ105" s="1">
        <v>15000</v>
      </c>
      <c r="AM105" s="21">
        <v>5</v>
      </c>
      <c r="AN105" s="21">
        <v>5</v>
      </c>
      <c r="AO105" s="21">
        <v>5</v>
      </c>
      <c r="AP105" s="21"/>
      <c r="AQ105" s="21"/>
      <c r="AR105" s="8" t="s">
        <v>173</v>
      </c>
      <c r="AS105" s="21" t="s">
        <v>1989</v>
      </c>
      <c r="AT105" s="21" t="str">
        <f>IFERROR(IF(FIND("?",ckAwdTable[abst_narr_txt]),SummarizeQuestMarks(ckAwdTable[abst_narr_txt]),""),"")</f>
        <v/>
      </c>
      <c r="AU105" s="21"/>
      <c r="AV105" t="s">
        <v>2393</v>
      </c>
      <c r="AW105" t="b">
        <f>AND(ckAwdTable[[#This Row],[ILN]]&gt;"M", SUBSTITUTE(ckAwdTable[[#This Row],[prop_titl_txt]]," ","")&lt;&gt;SUBSTITUTE(AV104," ",""))</f>
        <v>0</v>
      </c>
      <c r="AX105" s="8" t="s">
        <v>2394</v>
      </c>
    </row>
    <row r="106" spans="2:50">
      <c r="B106" s="30">
        <v>42935.491666666669</v>
      </c>
      <c r="C106" t="s">
        <v>242</v>
      </c>
      <c r="D106" t="s">
        <v>741</v>
      </c>
      <c r="E106" t="s">
        <v>528</v>
      </c>
      <c r="F106" t="s">
        <v>1530</v>
      </c>
      <c r="G106" s="8" t="s">
        <v>172</v>
      </c>
      <c r="H106" s="8" t="s">
        <v>170</v>
      </c>
      <c r="I106" s="8" t="s">
        <v>2709</v>
      </c>
      <c r="J106" t="s">
        <v>94</v>
      </c>
      <c r="K106" t="s">
        <v>743</v>
      </c>
      <c r="L106" s="22"/>
      <c r="M106" s="109">
        <f xml:space="preserve"> M105+(ckAwdTable[ILN]&lt;"M")</f>
        <v>82</v>
      </c>
      <c r="N106" t="s">
        <v>96</v>
      </c>
      <c r="O106" t="s">
        <v>1647</v>
      </c>
      <c r="P106" s="15" t="str">
        <f>HYPERLINK("https://www.ejacket.nsf.gov/ej/showProposal.do?ID="&amp;ckAwdTable[[#This Row],[prop_id]],"eJ")</f>
        <v>eJ</v>
      </c>
      <c r="Q106" s="8" t="s">
        <v>742</v>
      </c>
      <c r="R106" t="s">
        <v>1647</v>
      </c>
      <c r="S106" t="s">
        <v>1031</v>
      </c>
      <c r="T106" t="s">
        <v>798</v>
      </c>
      <c r="U106" s="8" t="s">
        <v>2087</v>
      </c>
      <c r="V106" t="s">
        <v>98</v>
      </c>
      <c r="W106" s="113" t="str">
        <f>HYPERLINK("mailto:"&amp; ckAwdTable[[#This Row],[email]]&amp;"&amp;subject=Your NSF Proposal:  "&amp;ckAwdTable[[#This Row],[prop_id]], ckAwdTable[[#This Row],[email]])</f>
        <v>pvaliant@gmail.com</v>
      </c>
      <c r="X106" s="30">
        <v>43252</v>
      </c>
      <c r="Y106">
        <v>60</v>
      </c>
      <c r="AA106" s="21" t="s">
        <v>13</v>
      </c>
      <c r="AB106" s="21" t="s">
        <v>424</v>
      </c>
      <c r="AC106"/>
      <c r="AD106" s="21" t="s">
        <v>13</v>
      </c>
      <c r="AE106" s="21" t="s">
        <v>2710</v>
      </c>
      <c r="AF106" s="124">
        <v>666111</v>
      </c>
      <c r="AG106" s="21">
        <v>0</v>
      </c>
      <c r="AH106" s="1">
        <v>666111</v>
      </c>
      <c r="AI106" s="1"/>
      <c r="AJ106" s="1">
        <v>10618</v>
      </c>
      <c r="AM106" s="21">
        <v>5</v>
      </c>
      <c r="AN106" s="21">
        <v>5</v>
      </c>
      <c r="AO106" s="21">
        <v>5</v>
      </c>
      <c r="AP106" s="21"/>
      <c r="AQ106" s="21"/>
      <c r="AR106" s="8" t="s">
        <v>173</v>
      </c>
      <c r="AS106" s="21" t="s">
        <v>1989</v>
      </c>
      <c r="AT106" s="21" t="str">
        <f>IFERROR(IF(FIND("?",ckAwdTable[abst_narr_txt]),SummarizeQuestMarks(ckAwdTable[abst_narr_txt]),""),"")</f>
        <v/>
      </c>
      <c r="AU106" s="21"/>
      <c r="AV106" t="s">
        <v>2397</v>
      </c>
      <c r="AW106" t="b">
        <f>AND(ckAwdTable[[#This Row],[ILN]]&gt;"M", SUBSTITUTE(ckAwdTable[[#This Row],[prop_titl_txt]]," ","")&lt;&gt;SUBSTITUTE(AV105," ",""))</f>
        <v>0</v>
      </c>
      <c r="AX106" s="8" t="s">
        <v>2398</v>
      </c>
    </row>
    <row r="107" spans="2:50">
      <c r="B107" s="30">
        <v>42935.535416666666</v>
      </c>
      <c r="C107" t="s">
        <v>242</v>
      </c>
      <c r="D107" t="s">
        <v>741</v>
      </c>
      <c r="E107" t="s">
        <v>528</v>
      </c>
      <c r="F107" t="s">
        <v>543</v>
      </c>
      <c r="G107" s="8" t="s">
        <v>172</v>
      </c>
      <c r="H107" s="8" t="s">
        <v>170</v>
      </c>
      <c r="I107" s="8" t="s">
        <v>2709</v>
      </c>
      <c r="J107" t="s">
        <v>94</v>
      </c>
      <c r="K107" t="s">
        <v>743</v>
      </c>
      <c r="L107" s="22"/>
      <c r="M107" s="109">
        <f xml:space="preserve"> M106+(ckAwdTable[ILN]&lt;"M")</f>
        <v>83</v>
      </c>
      <c r="N107" t="s">
        <v>96</v>
      </c>
      <c r="O107" t="s">
        <v>1654</v>
      </c>
      <c r="P107" s="15" t="str">
        <f>HYPERLINK("https://www.ejacket.nsf.gov/ej/showProposal.do?ID="&amp;ckAwdTable[[#This Row],[prop_id]],"eJ")</f>
        <v>eJ</v>
      </c>
      <c r="Q107" s="8" t="s">
        <v>742</v>
      </c>
      <c r="R107" t="s">
        <v>1654</v>
      </c>
      <c r="S107" t="s">
        <v>1655</v>
      </c>
      <c r="T107" t="s">
        <v>2400</v>
      </c>
      <c r="U107" s="8" t="s">
        <v>339</v>
      </c>
      <c r="V107" t="s">
        <v>340</v>
      </c>
      <c r="W107" s="113" t="str">
        <f>HYPERLINK("mailto:"&amp; ckAwdTable[[#This Row],[email]]&amp;"&amp;subject=Your NSF Proposal:  "&amp;ckAwdTable[[#This Row],[prop_id]], ckAwdTable[[#This Row],[email]])</f>
        <v>rutameht@illinois.edu</v>
      </c>
      <c r="X107" s="30">
        <v>43132</v>
      </c>
      <c r="Y107">
        <v>60</v>
      </c>
      <c r="AA107" s="21" t="s">
        <v>13</v>
      </c>
      <c r="AB107" s="21" t="s">
        <v>424</v>
      </c>
      <c r="AC107"/>
      <c r="AD107" s="21" t="s">
        <v>13</v>
      </c>
      <c r="AE107" s="21" t="s">
        <v>2710</v>
      </c>
      <c r="AF107" s="124">
        <v>499906</v>
      </c>
      <c r="AG107" s="21">
        <v>0</v>
      </c>
      <c r="AH107" s="1">
        <v>499906</v>
      </c>
      <c r="AI107" s="1"/>
      <c r="AJ107" s="1">
        <v>10000</v>
      </c>
      <c r="AM107" s="21">
        <v>5</v>
      </c>
      <c r="AN107" s="21">
        <v>4</v>
      </c>
      <c r="AO107" s="21">
        <v>4</v>
      </c>
      <c r="AP107" s="21"/>
      <c r="AQ107" s="21"/>
      <c r="AR107" s="8" t="s">
        <v>173</v>
      </c>
      <c r="AS107" s="21" t="s">
        <v>1989</v>
      </c>
      <c r="AT107" s="21" t="str">
        <f>IFERROR(IF(FIND("?",ckAwdTable[abst_narr_txt]),SummarizeQuestMarks(ckAwdTable[abst_narr_txt]),""),"")</f>
        <v/>
      </c>
      <c r="AU107" s="21"/>
      <c r="AV107" t="s">
        <v>2402</v>
      </c>
      <c r="AW107" t="b">
        <f>AND(ckAwdTable[[#This Row],[ILN]]&gt;"M", SUBSTITUTE(ckAwdTable[[#This Row],[prop_titl_txt]]," ","")&lt;&gt;SUBSTITUTE(AV106," ",""))</f>
        <v>0</v>
      </c>
      <c r="AX107" s="8" t="s">
        <v>2403</v>
      </c>
    </row>
    <row r="108" spans="2:50">
      <c r="B108" s="30">
        <v>42935.536805555559</v>
      </c>
      <c r="C108" t="s">
        <v>242</v>
      </c>
      <c r="D108" t="s">
        <v>741</v>
      </c>
      <c r="E108" t="s">
        <v>528</v>
      </c>
      <c r="F108" t="s">
        <v>543</v>
      </c>
      <c r="G108" s="8" t="s">
        <v>172</v>
      </c>
      <c r="H108" s="8" t="s">
        <v>170</v>
      </c>
      <c r="I108" s="8" t="s">
        <v>2709</v>
      </c>
      <c r="J108" t="s">
        <v>94</v>
      </c>
      <c r="K108" t="s">
        <v>743</v>
      </c>
      <c r="L108" s="22"/>
      <c r="M108" s="109">
        <f xml:space="preserve"> M107+(ckAwdTable[ILN]&lt;"M")</f>
        <v>84</v>
      </c>
      <c r="N108" t="s">
        <v>96</v>
      </c>
      <c r="O108" t="s">
        <v>1665</v>
      </c>
      <c r="P108" s="15" t="str">
        <f>HYPERLINK("https://www.ejacket.nsf.gov/ej/showProposal.do?ID="&amp;ckAwdTable[[#This Row],[prop_id]],"eJ")</f>
        <v>eJ</v>
      </c>
      <c r="Q108" s="8" t="s">
        <v>742</v>
      </c>
      <c r="R108" t="s">
        <v>1665</v>
      </c>
      <c r="S108" t="s">
        <v>1666</v>
      </c>
      <c r="T108" t="s">
        <v>2404</v>
      </c>
      <c r="U108" s="8" t="s">
        <v>2209</v>
      </c>
      <c r="V108" t="s">
        <v>2207</v>
      </c>
      <c r="W108" s="113" t="str">
        <f>HYPERLINK("mailto:"&amp; ckAwdTable[[#This Row],[email]]&amp;"&amp;subject=Your NSF Proposal:  "&amp;ckAwdTable[[#This Row],[prop_id]], ckAwdTable[[#This Row],[email]])</f>
        <v>gillat.kol@gmail.com</v>
      </c>
      <c r="X108" s="30">
        <v>43132</v>
      </c>
      <c r="Y108">
        <v>60</v>
      </c>
      <c r="AA108" s="21" t="s">
        <v>13</v>
      </c>
      <c r="AB108" s="21" t="s">
        <v>424</v>
      </c>
      <c r="AC108"/>
      <c r="AD108" s="21" t="s">
        <v>13</v>
      </c>
      <c r="AF108" s="124">
        <v>550000</v>
      </c>
      <c r="AG108" s="21">
        <v>0</v>
      </c>
      <c r="AH108" s="1">
        <v>550000</v>
      </c>
      <c r="AI108" s="1"/>
      <c r="AJ108" s="1"/>
      <c r="AM108" s="21">
        <v>5</v>
      </c>
      <c r="AN108" s="21">
        <v>5</v>
      </c>
      <c r="AO108" s="21">
        <v>5</v>
      </c>
      <c r="AP108" s="21"/>
      <c r="AQ108" s="21"/>
      <c r="AR108" s="8" t="s">
        <v>173</v>
      </c>
      <c r="AS108" s="21" t="s">
        <v>1989</v>
      </c>
      <c r="AT108" s="21" t="str">
        <f>IFERROR(IF(FIND("?",ckAwdTable[abst_narr_txt]),SummarizeQuestMarks(ckAwdTable[abst_narr_txt]),""),"")</f>
        <v/>
      </c>
      <c r="AU108" s="21"/>
      <c r="AV108" t="s">
        <v>2406</v>
      </c>
      <c r="AW108" t="b">
        <f>AND(ckAwdTable[[#This Row],[ILN]]&gt;"M", SUBSTITUTE(ckAwdTable[[#This Row],[prop_titl_txt]]," ","")&lt;&gt;SUBSTITUTE(AV107," ",""))</f>
        <v>0</v>
      </c>
      <c r="AX108" s="8" t="s">
        <v>2407</v>
      </c>
    </row>
    <row r="109" spans="2:50">
      <c r="B109" s="30">
        <v>42935.54583333333</v>
      </c>
      <c r="C109" t="s">
        <v>242</v>
      </c>
      <c r="D109" t="s">
        <v>741</v>
      </c>
      <c r="E109" t="s">
        <v>528</v>
      </c>
      <c r="F109" t="s">
        <v>1530</v>
      </c>
      <c r="G109" s="8" t="s">
        <v>172</v>
      </c>
      <c r="H109" s="8" t="s">
        <v>170</v>
      </c>
      <c r="I109" s="8" t="s">
        <v>2709</v>
      </c>
      <c r="J109" t="s">
        <v>94</v>
      </c>
      <c r="K109" t="s">
        <v>743</v>
      </c>
      <c r="L109" s="22"/>
      <c r="M109" s="109">
        <f xml:space="preserve"> M108+(ckAwdTable[ILN]&lt;"M")</f>
        <v>85</v>
      </c>
      <c r="N109" t="s">
        <v>96</v>
      </c>
      <c r="O109" t="s">
        <v>1697</v>
      </c>
      <c r="P109" s="15" t="str">
        <f>HYPERLINK("https://www.ejacket.nsf.gov/ej/showProposal.do?ID="&amp;ckAwdTable[[#This Row],[prop_id]],"eJ")</f>
        <v>eJ</v>
      </c>
      <c r="Q109" s="8" t="s">
        <v>742</v>
      </c>
      <c r="R109" t="s">
        <v>1697</v>
      </c>
      <c r="S109" t="s">
        <v>1698</v>
      </c>
      <c r="T109" t="s">
        <v>2408</v>
      </c>
      <c r="U109" s="8" t="s">
        <v>2184</v>
      </c>
      <c r="V109" t="s">
        <v>2182</v>
      </c>
      <c r="W109" s="113" t="str">
        <f>HYPERLINK("mailto:"&amp; ckAwdTable[[#This Row],[email]]&amp;"&amp;subject=Your NSF Proposal:  "&amp;ckAwdTable[[#This Row],[prop_id]], ckAwdTable[[#This Row],[email]])</f>
        <v>sharathr@vt.edu</v>
      </c>
      <c r="X109" s="30">
        <v>43110</v>
      </c>
      <c r="Y109">
        <v>60</v>
      </c>
      <c r="AA109" s="21" t="s">
        <v>13</v>
      </c>
      <c r="AB109" s="21" t="s">
        <v>424</v>
      </c>
      <c r="AC109"/>
      <c r="AD109" s="21" t="s">
        <v>13</v>
      </c>
      <c r="AE109" s="21" t="s">
        <v>2710</v>
      </c>
      <c r="AF109" s="124">
        <v>533991</v>
      </c>
      <c r="AG109" s="21">
        <v>0</v>
      </c>
      <c r="AH109" s="1">
        <v>533991</v>
      </c>
      <c r="AI109" s="1"/>
      <c r="AJ109" s="1">
        <v>7500</v>
      </c>
      <c r="AM109" s="21">
        <v>5</v>
      </c>
      <c r="AN109" s="21">
        <v>5</v>
      </c>
      <c r="AO109" s="21">
        <v>6.5</v>
      </c>
      <c r="AP109" s="21"/>
      <c r="AQ109" s="21"/>
      <c r="AR109" s="8" t="s">
        <v>173</v>
      </c>
      <c r="AS109" s="21" t="s">
        <v>1989</v>
      </c>
      <c r="AT109" s="21" t="str">
        <f>IFERROR(IF(FIND("?",ckAwdTable[abst_narr_txt]),SummarizeQuestMarks(ckAwdTable[abst_narr_txt]),""),"")</f>
        <v/>
      </c>
      <c r="AU109" s="21"/>
      <c r="AV109" t="s">
        <v>2410</v>
      </c>
      <c r="AW109" t="b">
        <f>AND(ckAwdTable[[#This Row],[ILN]]&gt;"M", SUBSTITUTE(ckAwdTable[[#This Row],[prop_titl_txt]]," ","")&lt;&gt;SUBSTITUTE(AV108," ",""))</f>
        <v>0</v>
      </c>
      <c r="AX109" s="8" t="s">
        <v>2411</v>
      </c>
    </row>
    <row r="110" spans="2:50">
      <c r="B110" s="30">
        <v>42935.576388888891</v>
      </c>
      <c r="C110" t="s">
        <v>242</v>
      </c>
      <c r="D110" t="s">
        <v>741</v>
      </c>
      <c r="E110" t="s">
        <v>528</v>
      </c>
      <c r="F110" t="s">
        <v>543</v>
      </c>
      <c r="G110" s="8" t="s">
        <v>172</v>
      </c>
      <c r="H110" s="8" t="s">
        <v>170</v>
      </c>
      <c r="I110" s="8" t="s">
        <v>2709</v>
      </c>
      <c r="J110" t="s">
        <v>94</v>
      </c>
      <c r="K110" t="s">
        <v>743</v>
      </c>
      <c r="L110" s="22"/>
      <c r="M110" s="109">
        <f xml:space="preserve"> M109+(ckAwdTable[ILN]&lt;"M")</f>
        <v>86</v>
      </c>
      <c r="N110" t="s">
        <v>96</v>
      </c>
      <c r="O110" t="s">
        <v>1705</v>
      </c>
      <c r="P110" s="15" t="str">
        <f>HYPERLINK("https://www.ejacket.nsf.gov/ej/showProposal.do?ID="&amp;ckAwdTable[[#This Row],[prop_id]],"eJ")</f>
        <v>eJ</v>
      </c>
      <c r="Q110" s="8" t="s">
        <v>742</v>
      </c>
      <c r="R110" t="s">
        <v>1705</v>
      </c>
      <c r="S110" t="s">
        <v>1706</v>
      </c>
      <c r="T110" t="s">
        <v>2412</v>
      </c>
      <c r="U110" s="8" t="s">
        <v>2325</v>
      </c>
      <c r="V110" t="s">
        <v>256</v>
      </c>
      <c r="W110" s="113" t="str">
        <f>HYPERLINK("mailto:"&amp; ckAwdTable[[#This Row],[email]]&amp;"&amp;subject=Your NSF Proposal:  "&amp;ckAwdTable[[#This Row],[prop_id]], ckAwdTable[[#This Row],[email]])</f>
        <v xml:space="preserve"> hardt@eecs.berkeley.edu</v>
      </c>
      <c r="X110" s="30">
        <v>43132</v>
      </c>
      <c r="Y110">
        <v>60</v>
      </c>
      <c r="AA110" s="21" t="s">
        <v>13</v>
      </c>
      <c r="AB110" s="21" t="s">
        <v>424</v>
      </c>
      <c r="AC110"/>
      <c r="AD110" s="21" t="s">
        <v>13</v>
      </c>
      <c r="AF110" s="124">
        <v>499434</v>
      </c>
      <c r="AG110" s="21">
        <v>0</v>
      </c>
      <c r="AH110" s="1">
        <v>499434</v>
      </c>
      <c r="AI110" s="1"/>
      <c r="AJ110" s="1"/>
      <c r="AM110" s="21">
        <v>5</v>
      </c>
      <c r="AN110" s="21">
        <v>5</v>
      </c>
      <c r="AO110" s="21">
        <v>0.8</v>
      </c>
      <c r="AP110" s="21"/>
      <c r="AQ110" s="21"/>
      <c r="AR110" s="8" t="s">
        <v>173</v>
      </c>
      <c r="AS110" s="21" t="s">
        <v>1989</v>
      </c>
      <c r="AT110" s="21" t="str">
        <f>IFERROR(IF(FIND("?",ckAwdTable[abst_narr_txt]),SummarizeQuestMarks(ckAwdTable[abst_narr_txt]),""),"")</f>
        <v/>
      </c>
      <c r="AU110" s="21"/>
      <c r="AV110" t="s">
        <v>2414</v>
      </c>
      <c r="AW110" t="b">
        <f>AND(ckAwdTable[[#This Row],[ILN]]&gt;"M", SUBSTITUTE(ckAwdTable[[#This Row],[prop_titl_txt]]," ","")&lt;&gt;SUBSTITUTE(AV109," ",""))</f>
        <v>0</v>
      </c>
      <c r="AX110" s="8" t="s">
        <v>2415</v>
      </c>
    </row>
    <row r="111" spans="2:50">
      <c r="B111" s="30">
        <v>42935.599305555559</v>
      </c>
      <c r="C111" t="s">
        <v>242</v>
      </c>
      <c r="D111" t="s">
        <v>741</v>
      </c>
      <c r="E111" t="s">
        <v>528</v>
      </c>
      <c r="F111" t="s">
        <v>543</v>
      </c>
      <c r="G111" s="8" t="s">
        <v>172</v>
      </c>
      <c r="H111" s="8" t="s">
        <v>170</v>
      </c>
      <c r="I111" s="8" t="s">
        <v>2709</v>
      </c>
      <c r="J111" t="s">
        <v>94</v>
      </c>
      <c r="K111" t="s">
        <v>743</v>
      </c>
      <c r="L111" s="22"/>
      <c r="M111" s="109">
        <f xml:space="preserve"> M110+(ckAwdTable[ILN]&lt;"M")</f>
        <v>87</v>
      </c>
      <c r="N111" t="s">
        <v>96</v>
      </c>
      <c r="O111" t="s">
        <v>1713</v>
      </c>
      <c r="P111" s="15" t="str">
        <f>HYPERLINK("https://www.ejacket.nsf.gov/ej/showProposal.do?ID="&amp;ckAwdTable[[#This Row],[prop_id]],"eJ")</f>
        <v>eJ</v>
      </c>
      <c r="Q111" s="8" t="s">
        <v>742</v>
      </c>
      <c r="R111" t="s">
        <v>1713</v>
      </c>
      <c r="S111" t="s">
        <v>1714</v>
      </c>
      <c r="T111" t="s">
        <v>2416</v>
      </c>
      <c r="U111" s="8" t="s">
        <v>2417</v>
      </c>
      <c r="V111" t="s">
        <v>257</v>
      </c>
      <c r="W111" s="113" t="str">
        <f>HYPERLINK("mailto:"&amp; ckAwdTable[[#This Row],[email]]&amp;"&amp;subject=Your NSF Proposal:  "&amp;ckAwdTable[[#This Row],[prop_id]], ckAwdTable[[#This Row],[email]])</f>
        <v>jullman@ccs.neu.edu</v>
      </c>
      <c r="X111" s="30">
        <v>43282</v>
      </c>
      <c r="Y111">
        <v>60</v>
      </c>
      <c r="AA111" s="21" t="s">
        <v>13</v>
      </c>
      <c r="AB111" s="21" t="s">
        <v>424</v>
      </c>
      <c r="AC111"/>
      <c r="AD111" s="21" t="s">
        <v>13</v>
      </c>
      <c r="AE111" s="21" t="s">
        <v>2710</v>
      </c>
      <c r="AF111" s="124">
        <v>545883</v>
      </c>
      <c r="AG111" s="21">
        <v>0</v>
      </c>
      <c r="AH111" s="1">
        <v>545883</v>
      </c>
      <c r="AI111" s="1"/>
      <c r="AJ111" s="1">
        <v>15928</v>
      </c>
      <c r="AM111" s="21">
        <v>5</v>
      </c>
      <c r="AN111" s="21">
        <v>5</v>
      </c>
      <c r="AO111" s="21">
        <v>5</v>
      </c>
      <c r="AP111" s="21"/>
      <c r="AQ111" s="21"/>
      <c r="AR111" s="8" t="s">
        <v>173</v>
      </c>
      <c r="AS111" s="21" t="s">
        <v>1989</v>
      </c>
      <c r="AT111" s="21" t="str">
        <f>IFERROR(IF(FIND("?",ckAwdTable[abst_narr_txt]),SummarizeQuestMarks(ckAwdTable[abst_narr_txt]),""),"")</f>
        <v/>
      </c>
      <c r="AU111" s="21"/>
      <c r="AV111" t="s">
        <v>2419</v>
      </c>
      <c r="AW111" t="b">
        <f>AND(ckAwdTable[[#This Row],[ILN]]&gt;"M", SUBSTITUTE(ckAwdTable[[#This Row],[prop_titl_txt]]," ","")&lt;&gt;SUBSTITUTE(AV110," ",""))</f>
        <v>0</v>
      </c>
      <c r="AX111" s="8" t="s">
        <v>2420</v>
      </c>
    </row>
    <row r="112" spans="2:50">
      <c r="B112" s="30">
        <v>42935.603472222225</v>
      </c>
      <c r="C112" t="s">
        <v>242</v>
      </c>
      <c r="D112" t="s">
        <v>741</v>
      </c>
      <c r="E112" t="s">
        <v>528</v>
      </c>
      <c r="F112" t="s">
        <v>543</v>
      </c>
      <c r="G112" s="8" t="s">
        <v>172</v>
      </c>
      <c r="H112" s="8" t="s">
        <v>170</v>
      </c>
      <c r="I112" s="8" t="s">
        <v>2709</v>
      </c>
      <c r="J112" t="s">
        <v>94</v>
      </c>
      <c r="K112" t="s">
        <v>743</v>
      </c>
      <c r="L112" s="22"/>
      <c r="M112" s="109">
        <f xml:space="preserve"> M111+(ckAwdTable[ILN]&lt;"M")</f>
        <v>88</v>
      </c>
      <c r="N112" t="s">
        <v>96</v>
      </c>
      <c r="O112" t="s">
        <v>1721</v>
      </c>
      <c r="P112" s="15" t="str">
        <f>HYPERLINK("https://www.ejacket.nsf.gov/ej/showProposal.do?ID="&amp;ckAwdTable[[#This Row],[prop_id]],"eJ")</f>
        <v>eJ</v>
      </c>
      <c r="Q112" s="8" t="s">
        <v>742</v>
      </c>
      <c r="R112" t="s">
        <v>1721</v>
      </c>
      <c r="S112" t="s">
        <v>1722</v>
      </c>
      <c r="T112" t="s">
        <v>2421</v>
      </c>
      <c r="U112" s="8" t="s">
        <v>2283</v>
      </c>
      <c r="V112" t="s">
        <v>2207</v>
      </c>
      <c r="W112" s="113" t="str">
        <f>HYPERLINK("mailto:"&amp; ckAwdTable[[#This Row],[email]]&amp;"&amp;subject=Your NSF Proposal:  "&amp;ckAwdTable[[#This Row],[prop_id]], ckAwdTable[[#This Row],[email]])</f>
        <v>pranjal.iitm@gmail.com</v>
      </c>
      <c r="X112" s="30">
        <v>43101</v>
      </c>
      <c r="Y112">
        <v>60</v>
      </c>
      <c r="AA112" s="21" t="s">
        <v>13</v>
      </c>
      <c r="AB112" s="21" t="s">
        <v>424</v>
      </c>
      <c r="AC112"/>
      <c r="AD112" s="21" t="s">
        <v>13</v>
      </c>
      <c r="AE112" s="21" t="s">
        <v>2726</v>
      </c>
      <c r="AF112" s="124">
        <v>695874</v>
      </c>
      <c r="AG112" s="21">
        <v>0</v>
      </c>
      <c r="AH112" s="1">
        <v>695874</v>
      </c>
      <c r="AI112" s="1"/>
      <c r="AJ112" s="1">
        <v>12875</v>
      </c>
      <c r="AM112" s="21">
        <v>5</v>
      </c>
      <c r="AN112" s="21">
        <v>5</v>
      </c>
      <c r="AO112" s="21">
        <v>5</v>
      </c>
      <c r="AP112" s="21"/>
      <c r="AQ112" s="21"/>
      <c r="AR112" s="8" t="s">
        <v>173</v>
      </c>
      <c r="AS112" s="21" t="s">
        <v>1989</v>
      </c>
      <c r="AT112" s="21" t="str">
        <f>IFERROR(IF(FIND("?",ckAwdTable[abst_narr_txt]),SummarizeQuestMarks(ckAwdTable[abst_narr_txt]),""),"")</f>
        <v/>
      </c>
      <c r="AU112" s="21"/>
      <c r="AV112" t="s">
        <v>2423</v>
      </c>
      <c r="AW112" t="b">
        <f>AND(ckAwdTable[[#This Row],[ILN]]&gt;"M", SUBSTITUTE(ckAwdTable[[#This Row],[prop_titl_txt]]," ","")&lt;&gt;SUBSTITUTE(AV111," ",""))</f>
        <v>0</v>
      </c>
      <c r="AX112" s="8" t="s">
        <v>2424</v>
      </c>
    </row>
    <row r="113" spans="2:50">
      <c r="B113" s="30">
        <v>42935.620138888888</v>
      </c>
      <c r="C113" t="s">
        <v>242</v>
      </c>
      <c r="D113" t="s">
        <v>741</v>
      </c>
      <c r="E113" t="s">
        <v>528</v>
      </c>
      <c r="F113" t="s">
        <v>1530</v>
      </c>
      <c r="G113" s="8" t="s">
        <v>172</v>
      </c>
      <c r="H113" s="8" t="s">
        <v>170</v>
      </c>
      <c r="I113" s="8" t="s">
        <v>2709</v>
      </c>
      <c r="J113" t="s">
        <v>94</v>
      </c>
      <c r="K113" t="s">
        <v>743</v>
      </c>
      <c r="L113" s="22"/>
      <c r="M113" s="109">
        <f xml:space="preserve"> M112+(ckAwdTable[ILN]&lt;"M")</f>
        <v>89</v>
      </c>
      <c r="N113" t="s">
        <v>96</v>
      </c>
      <c r="O113" t="s">
        <v>1729</v>
      </c>
      <c r="P113" s="15" t="str">
        <f>HYPERLINK("https://www.ejacket.nsf.gov/ej/showProposal.do?ID="&amp;ckAwdTable[[#This Row],[prop_id]],"eJ")</f>
        <v>eJ</v>
      </c>
      <c r="Q113" s="8" t="s">
        <v>742</v>
      </c>
      <c r="R113" t="s">
        <v>1729</v>
      </c>
      <c r="S113" t="s">
        <v>1730</v>
      </c>
      <c r="T113" t="s">
        <v>2425</v>
      </c>
      <c r="U113" s="8" t="s">
        <v>2417</v>
      </c>
      <c r="V113" t="s">
        <v>257</v>
      </c>
      <c r="W113" s="113" t="str">
        <f>HYPERLINK("mailto:"&amp; ckAwdTable[[#This Row],[email]]&amp;"&amp;subject=Your NSF Proposal:  "&amp;ckAwdTable[[#This Row],[prop_id]], ckAwdTable[[#This Row],[email]])</f>
        <v>hu.nguyen@neu.edu</v>
      </c>
      <c r="X113" s="30">
        <v>43252</v>
      </c>
      <c r="Y113">
        <v>60</v>
      </c>
      <c r="AA113" s="21" t="s">
        <v>13</v>
      </c>
      <c r="AB113" s="21" t="s">
        <v>424</v>
      </c>
      <c r="AC113"/>
      <c r="AD113" s="21" t="s">
        <v>13</v>
      </c>
      <c r="AE113" s="21" t="s">
        <v>2710</v>
      </c>
      <c r="AF113" s="124">
        <v>551453</v>
      </c>
      <c r="AG113" s="21">
        <v>0</v>
      </c>
      <c r="AH113" s="1">
        <v>551453</v>
      </c>
      <c r="AI113" s="1"/>
      <c r="AJ113" s="1">
        <v>13273</v>
      </c>
      <c r="AM113" s="21">
        <v>5</v>
      </c>
      <c r="AN113" s="21">
        <v>5</v>
      </c>
      <c r="AO113" s="21">
        <v>5</v>
      </c>
      <c r="AP113" s="21"/>
      <c r="AQ113" s="21"/>
      <c r="AR113" s="8" t="s">
        <v>173</v>
      </c>
      <c r="AS113" s="21" t="s">
        <v>1989</v>
      </c>
      <c r="AT113" s="21" t="str">
        <f>IFERROR(IF(FIND("?",ckAwdTable[abst_narr_txt]),SummarizeQuestMarks(ckAwdTable[abst_narr_txt]),""),"")</f>
        <v/>
      </c>
      <c r="AU113" s="21"/>
      <c r="AV113" t="s">
        <v>2427</v>
      </c>
      <c r="AW113" t="b">
        <f>AND(ckAwdTable[[#This Row],[ILN]]&gt;"M", SUBSTITUTE(ckAwdTable[[#This Row],[prop_titl_txt]]," ","")&lt;&gt;SUBSTITUTE(AV112," ",""))</f>
        <v>0</v>
      </c>
      <c r="AX113" s="8" t="s">
        <v>2428</v>
      </c>
    </row>
    <row r="114" spans="2:50">
      <c r="B114" s="30">
        <v>42935.633333333331</v>
      </c>
      <c r="C114" t="s">
        <v>242</v>
      </c>
      <c r="D114" t="s">
        <v>741</v>
      </c>
      <c r="E114" t="s">
        <v>528</v>
      </c>
      <c r="F114" t="s">
        <v>540</v>
      </c>
      <c r="G114" s="8" t="s">
        <v>172</v>
      </c>
      <c r="H114" s="8" t="s">
        <v>170</v>
      </c>
      <c r="I114" s="8" t="s">
        <v>2709</v>
      </c>
      <c r="J114" t="s">
        <v>94</v>
      </c>
      <c r="K114" t="s">
        <v>743</v>
      </c>
      <c r="L114" s="22"/>
      <c r="M114" s="109">
        <f xml:space="preserve"> M113+(ckAwdTable[ILN]&lt;"M")</f>
        <v>90</v>
      </c>
      <c r="N114" t="s">
        <v>96</v>
      </c>
      <c r="O114" t="s">
        <v>666</v>
      </c>
      <c r="P114" s="15" t="str">
        <f>HYPERLINK("https://www.ejacket.nsf.gov/ej/showProposal.do?ID="&amp;ckAwdTable[[#This Row],[prop_id]],"eJ")</f>
        <v>eJ</v>
      </c>
      <c r="Q114" s="8" t="s">
        <v>742</v>
      </c>
      <c r="R114" t="s">
        <v>666</v>
      </c>
      <c r="S114" t="s">
        <v>667</v>
      </c>
      <c r="T114" t="s">
        <v>789</v>
      </c>
      <c r="U114" s="8" t="s">
        <v>790</v>
      </c>
      <c r="V114" t="s">
        <v>345</v>
      </c>
      <c r="W114" s="113" t="str">
        <f>HYPERLINK("mailto:"&amp; ckAwdTable[[#This Row],[email]]&amp;"&amp;subject=Your NSF Proposal:  "&amp;ckAwdTable[[#This Row],[prop_id]], ckAwdTable[[#This Row],[email]])</f>
        <v>Benjamin.Raichel@utdallas.edu</v>
      </c>
      <c r="X114" s="30">
        <v>43344</v>
      </c>
      <c r="Y114">
        <v>60</v>
      </c>
      <c r="AA114" s="21" t="s">
        <v>13</v>
      </c>
      <c r="AB114" s="21" t="s">
        <v>424</v>
      </c>
      <c r="AC114"/>
      <c r="AD114" s="21" t="s">
        <v>13</v>
      </c>
      <c r="AE114" s="21" t="s">
        <v>2710</v>
      </c>
      <c r="AF114" s="124">
        <v>582785</v>
      </c>
      <c r="AG114" s="21">
        <v>0</v>
      </c>
      <c r="AH114" s="1">
        <v>582785</v>
      </c>
      <c r="AI114" s="1"/>
      <c r="AJ114" s="1">
        <v>7500</v>
      </c>
      <c r="AM114" s="21">
        <v>10</v>
      </c>
      <c r="AN114" s="21">
        <v>5</v>
      </c>
      <c r="AO114" s="21">
        <v>5</v>
      </c>
      <c r="AP114" s="21"/>
      <c r="AQ114" s="21"/>
      <c r="AR114" s="8" t="s">
        <v>173</v>
      </c>
      <c r="AS114" s="21" t="s">
        <v>1989</v>
      </c>
      <c r="AT114" s="21" t="str">
        <f>IFERROR(IF(FIND("?",ckAwdTable[abst_narr_txt]),SummarizeQuestMarks(ckAwdTable[abst_narr_txt]),""),"")</f>
        <v/>
      </c>
      <c r="AU114" s="21"/>
      <c r="AV114" t="s">
        <v>792</v>
      </c>
      <c r="AW114" t="b">
        <f>AND(ckAwdTable[[#This Row],[ILN]]&gt;"M", SUBSTITUTE(ckAwdTable[[#This Row],[prop_titl_txt]]," ","")&lt;&gt;SUBSTITUTE(AV113," ",""))</f>
        <v>0</v>
      </c>
      <c r="AX114" s="8" t="s">
        <v>793</v>
      </c>
    </row>
    <row r="115" spans="2:50">
      <c r="B115" s="30">
        <v>42935.638888888891</v>
      </c>
      <c r="C115" t="s">
        <v>242</v>
      </c>
      <c r="D115" t="s">
        <v>741</v>
      </c>
      <c r="E115" t="s">
        <v>528</v>
      </c>
      <c r="F115" t="s">
        <v>1530</v>
      </c>
      <c r="G115" s="8" t="s">
        <v>172</v>
      </c>
      <c r="H115" s="8" t="s">
        <v>170</v>
      </c>
      <c r="I115" s="8" t="s">
        <v>2709</v>
      </c>
      <c r="J115" t="s">
        <v>94</v>
      </c>
      <c r="K115" t="s">
        <v>743</v>
      </c>
      <c r="L115" s="22"/>
      <c r="M115" s="109">
        <f xml:space="preserve"> M114+(ckAwdTable[ILN]&lt;"M")</f>
        <v>91</v>
      </c>
      <c r="N115" t="s">
        <v>96</v>
      </c>
      <c r="O115" t="s">
        <v>1740</v>
      </c>
      <c r="P115" s="15" t="str">
        <f>HYPERLINK("https://www.ejacket.nsf.gov/ej/showProposal.do?ID="&amp;ckAwdTable[[#This Row],[prop_id]],"eJ")</f>
        <v>eJ</v>
      </c>
      <c r="Q115" s="8" t="s">
        <v>742</v>
      </c>
      <c r="R115" t="s">
        <v>1740</v>
      </c>
      <c r="S115" t="s">
        <v>1741</v>
      </c>
      <c r="T115" t="s">
        <v>2429</v>
      </c>
      <c r="U115" s="8" t="s">
        <v>2127</v>
      </c>
      <c r="V115" t="s">
        <v>2107</v>
      </c>
      <c r="W115" s="113" t="str">
        <f>HYPERLINK("mailto:"&amp; ckAwdTable[[#This Row],[email]]&amp;"&amp;subject=Your NSF Proposal:  "&amp;ckAwdTable[[#This Row],[prop_id]], ckAwdTable[[#This Row],[email]])</f>
        <v>haeupler@cs.cmu.edu</v>
      </c>
      <c r="X115" s="30">
        <v>43101</v>
      </c>
      <c r="Y115">
        <v>60</v>
      </c>
      <c r="AA115" s="21" t="s">
        <v>13</v>
      </c>
      <c r="AB115" s="21" t="s">
        <v>424</v>
      </c>
      <c r="AC115"/>
      <c r="AD115" s="21" t="s">
        <v>13</v>
      </c>
      <c r="AF115" s="124">
        <v>613868</v>
      </c>
      <c r="AG115" s="21">
        <v>0</v>
      </c>
      <c r="AH115" s="1">
        <v>613868</v>
      </c>
      <c r="AI115" s="1"/>
      <c r="AJ115" s="1"/>
      <c r="AM115" s="21">
        <v>5</v>
      </c>
      <c r="AN115" s="21">
        <v>5</v>
      </c>
      <c r="AO115" s="21">
        <v>1.25</v>
      </c>
      <c r="AP115" s="21"/>
      <c r="AQ115" s="21"/>
      <c r="AR115" s="8" t="s">
        <v>173</v>
      </c>
      <c r="AS115" s="21" t="s">
        <v>1989</v>
      </c>
      <c r="AT115" s="21" t="str">
        <f>IFERROR(IF(FIND("?",ckAwdTable[abst_narr_txt]),SummarizeQuestMarks(ckAwdTable[abst_narr_txt]),""),"")</f>
        <v/>
      </c>
      <c r="AU115" s="21"/>
      <c r="AV115" t="s">
        <v>2431</v>
      </c>
      <c r="AW115" t="b">
        <f>AND(ckAwdTable[[#This Row],[ILN]]&gt;"M", SUBSTITUTE(ckAwdTable[[#This Row],[prop_titl_txt]]," ","")&lt;&gt;SUBSTITUTE(AV114," ",""))</f>
        <v>0</v>
      </c>
      <c r="AX115" s="8" t="s">
        <v>2432</v>
      </c>
    </row>
    <row r="116" spans="2:50">
      <c r="B116" s="30">
        <v>42935.654166666667</v>
      </c>
      <c r="C116" t="s">
        <v>242</v>
      </c>
      <c r="D116" t="s">
        <v>741</v>
      </c>
      <c r="E116" t="s">
        <v>528</v>
      </c>
      <c r="F116" t="s">
        <v>543</v>
      </c>
      <c r="G116" s="8" t="s">
        <v>172</v>
      </c>
      <c r="H116" s="8" t="s">
        <v>170</v>
      </c>
      <c r="I116" s="8" t="s">
        <v>2709</v>
      </c>
      <c r="J116" t="s">
        <v>94</v>
      </c>
      <c r="K116" t="s">
        <v>743</v>
      </c>
      <c r="L116" s="22"/>
      <c r="M116" s="109">
        <f xml:space="preserve"> M115+(ckAwdTable[ILN]&lt;"M")</f>
        <v>92</v>
      </c>
      <c r="N116" t="s">
        <v>96</v>
      </c>
      <c r="O116" t="s">
        <v>1753</v>
      </c>
      <c r="P116" s="15" t="str">
        <f>HYPERLINK("https://www.ejacket.nsf.gov/ej/showProposal.do?ID="&amp;ckAwdTable[[#This Row],[prop_id]],"eJ")</f>
        <v>eJ</v>
      </c>
      <c r="Q116" s="8" t="s">
        <v>742</v>
      </c>
      <c r="R116" t="s">
        <v>1753</v>
      </c>
      <c r="S116" t="s">
        <v>1754</v>
      </c>
      <c r="T116" t="s">
        <v>2433</v>
      </c>
      <c r="U116" s="8" t="s">
        <v>2434</v>
      </c>
      <c r="V116" t="s">
        <v>347</v>
      </c>
      <c r="W116" s="113" t="str">
        <f>HYPERLINK("mailto:"&amp; ckAwdTable[[#This Row],[email]]&amp;"&amp;subject=Your NSF Proposal:  "&amp;ckAwdTable[[#This Row],[prop_id]], ckAwdTable[[#This Row],[email]])</f>
        <v>nxie@cs.fiu.edu</v>
      </c>
      <c r="X116" s="30">
        <v>43221</v>
      </c>
      <c r="Y116">
        <v>60</v>
      </c>
      <c r="AA116" s="21" t="s">
        <v>13</v>
      </c>
      <c r="AB116" s="21" t="s">
        <v>424</v>
      </c>
      <c r="AC116"/>
      <c r="AD116" s="21" t="s">
        <v>13</v>
      </c>
      <c r="AE116" s="21" t="s">
        <v>2727</v>
      </c>
      <c r="AF116" s="124">
        <v>520820</v>
      </c>
      <c r="AG116" s="21">
        <v>0</v>
      </c>
      <c r="AH116" s="1">
        <v>520820</v>
      </c>
      <c r="AI116" s="1"/>
      <c r="AJ116" s="1">
        <v>15000</v>
      </c>
      <c r="AM116" s="21">
        <v>5</v>
      </c>
      <c r="AN116" s="21">
        <v>5</v>
      </c>
      <c r="AO116" s="21">
        <v>7.5</v>
      </c>
      <c r="AP116" s="21"/>
      <c r="AQ116" s="21"/>
      <c r="AR116" s="8" t="s">
        <v>173</v>
      </c>
      <c r="AS116" s="21" t="s">
        <v>1989</v>
      </c>
      <c r="AT116" s="21" t="str">
        <f>IFERROR(IF(FIND("?",ckAwdTable[abst_narr_txt]),SummarizeQuestMarks(ckAwdTable[abst_narr_txt]),""),"")</f>
        <v/>
      </c>
      <c r="AU116" s="21"/>
      <c r="AV116" t="s">
        <v>2436</v>
      </c>
      <c r="AW116" t="b">
        <f>AND(ckAwdTable[[#This Row],[ILN]]&gt;"M", SUBSTITUTE(ckAwdTable[[#This Row],[prop_titl_txt]]," ","")&lt;&gt;SUBSTITUTE(AV115," ",""))</f>
        <v>0</v>
      </c>
      <c r="AX116" s="8" t="s">
        <v>2437</v>
      </c>
    </row>
    <row r="117" spans="2:50">
      <c r="B117" s="30">
        <v>42935.679166666669</v>
      </c>
      <c r="C117" t="s">
        <v>242</v>
      </c>
      <c r="D117" t="s">
        <v>741</v>
      </c>
      <c r="E117" t="s">
        <v>528</v>
      </c>
      <c r="F117" t="s">
        <v>543</v>
      </c>
      <c r="G117" s="8" t="s">
        <v>172</v>
      </c>
      <c r="H117" s="8" t="s">
        <v>170</v>
      </c>
      <c r="I117" s="8" t="s">
        <v>2709</v>
      </c>
      <c r="J117" t="s">
        <v>94</v>
      </c>
      <c r="K117" t="s">
        <v>743</v>
      </c>
      <c r="L117" s="22"/>
      <c r="M117" s="109">
        <f xml:space="preserve"> M116+(ckAwdTable[ILN]&lt;"M")</f>
        <v>93</v>
      </c>
      <c r="N117" t="s">
        <v>96</v>
      </c>
      <c r="O117" t="s">
        <v>1764</v>
      </c>
      <c r="P117" s="15" t="str">
        <f>HYPERLINK("https://www.ejacket.nsf.gov/ej/showProposal.do?ID="&amp;ckAwdTable[[#This Row],[prop_id]],"eJ")</f>
        <v>eJ</v>
      </c>
      <c r="Q117" s="8" t="s">
        <v>742</v>
      </c>
      <c r="R117" t="s">
        <v>1764</v>
      </c>
      <c r="S117" t="s">
        <v>1765</v>
      </c>
      <c r="T117" t="s">
        <v>2438</v>
      </c>
      <c r="U117" s="8" t="s">
        <v>799</v>
      </c>
      <c r="V117" t="s">
        <v>345</v>
      </c>
      <c r="W117" s="113" t="str">
        <f>HYPERLINK("mailto:"&amp; ckAwdTable[[#This Row],[email]]&amp;"&amp;subject=Your NSF Proposal:  "&amp;ckAwdTable[[#This Row],[prop_id]], ckAwdTable[[#This Row],[email]])</f>
        <v>ecprice@cs.utexas.edu</v>
      </c>
      <c r="X117" s="30">
        <v>43344</v>
      </c>
      <c r="Y117">
        <v>60</v>
      </c>
      <c r="AA117" s="21" t="s">
        <v>13</v>
      </c>
      <c r="AB117" s="21" t="s">
        <v>424</v>
      </c>
      <c r="AC117"/>
      <c r="AD117" s="21" t="s">
        <v>13</v>
      </c>
      <c r="AF117" s="124">
        <v>499575</v>
      </c>
      <c r="AG117" s="21">
        <v>0</v>
      </c>
      <c r="AH117" s="1">
        <v>499575</v>
      </c>
      <c r="AI117" s="1"/>
      <c r="AJ117" s="1"/>
      <c r="AM117" s="21">
        <v>5</v>
      </c>
      <c r="AN117" s="21">
        <v>5</v>
      </c>
      <c r="AO117" s="21">
        <v>5</v>
      </c>
      <c r="AP117" s="21"/>
      <c r="AQ117" s="21"/>
      <c r="AR117" s="8" t="s">
        <v>173</v>
      </c>
      <c r="AS117" s="21" t="s">
        <v>1989</v>
      </c>
      <c r="AT117" s="21" t="str">
        <f>IFERROR(IF(FIND("?",ckAwdTable[abst_narr_txt]),SummarizeQuestMarks(ckAwdTable[abst_narr_txt]),""),"")</f>
        <v/>
      </c>
      <c r="AU117" s="21"/>
      <c r="AV117" t="s">
        <v>2439</v>
      </c>
      <c r="AW117" t="b">
        <f>AND(ckAwdTable[[#This Row],[ILN]]&gt;"M", SUBSTITUTE(ckAwdTable[[#This Row],[prop_titl_txt]]," ","")&lt;&gt;SUBSTITUTE(AV116," ",""))</f>
        <v>0</v>
      </c>
      <c r="AX117" s="8" t="s">
        <v>2440</v>
      </c>
    </row>
    <row r="118" spans="2:50">
      <c r="B118" s="30">
        <v>42935.680555555555</v>
      </c>
      <c r="C118" t="s">
        <v>242</v>
      </c>
      <c r="D118" t="s">
        <v>741</v>
      </c>
      <c r="E118" t="s">
        <v>528</v>
      </c>
      <c r="F118" t="s">
        <v>540</v>
      </c>
      <c r="G118" s="8" t="s">
        <v>172</v>
      </c>
      <c r="H118" s="8" t="s">
        <v>170</v>
      </c>
      <c r="I118" s="8" t="s">
        <v>2709</v>
      </c>
      <c r="J118" t="s">
        <v>94</v>
      </c>
      <c r="K118" t="s">
        <v>743</v>
      </c>
      <c r="L118" s="22"/>
      <c r="M118" s="109">
        <f xml:space="preserve"> M117+(ckAwdTable[ILN]&lt;"M")</f>
        <v>94</v>
      </c>
      <c r="N118" t="s">
        <v>96</v>
      </c>
      <c r="O118" t="s">
        <v>678</v>
      </c>
      <c r="P118" s="15" t="str">
        <f>HYPERLINK("https://www.ejacket.nsf.gov/ej/showProposal.do?ID="&amp;ckAwdTable[[#This Row],[prop_id]],"eJ")</f>
        <v>eJ</v>
      </c>
      <c r="Q118" s="8" t="s">
        <v>742</v>
      </c>
      <c r="R118" t="s">
        <v>678</v>
      </c>
      <c r="S118" t="s">
        <v>679</v>
      </c>
      <c r="T118" t="s">
        <v>794</v>
      </c>
      <c r="U118" s="8" t="s">
        <v>795</v>
      </c>
      <c r="V118" t="s">
        <v>345</v>
      </c>
      <c r="W118" s="113" t="str">
        <f>HYPERLINK("mailto:"&amp; ckAwdTable[[#This Row],[email]]&amp;"&amp;subject=Your NSF Proposal:  "&amp;ckAwdTable[[#This Row],[prop_id]], ckAwdTable[[#This Row],[email]])</f>
        <v>MATTHEW.GIBSON@UTSA.EDU</v>
      </c>
      <c r="X118" s="30">
        <v>43132</v>
      </c>
      <c r="Y118">
        <v>60</v>
      </c>
      <c r="AA118" s="21" t="s">
        <v>13</v>
      </c>
      <c r="AB118" s="21" t="s">
        <v>424</v>
      </c>
      <c r="AC118"/>
      <c r="AD118" s="21" t="s">
        <v>13</v>
      </c>
      <c r="AE118" s="21" t="s">
        <v>2710</v>
      </c>
      <c r="AF118" s="124">
        <v>415497</v>
      </c>
      <c r="AG118" s="21">
        <v>0</v>
      </c>
      <c r="AH118" s="1">
        <v>415497</v>
      </c>
      <c r="AI118" s="1"/>
      <c r="AJ118" s="1">
        <v>12250</v>
      </c>
      <c r="AL118" s="1">
        <v>16000</v>
      </c>
      <c r="AM118" s="21">
        <v>5</v>
      </c>
      <c r="AN118" s="21">
        <v>5</v>
      </c>
      <c r="AO118" s="21">
        <v>5</v>
      </c>
      <c r="AP118" s="21"/>
      <c r="AQ118" s="21"/>
      <c r="AR118" s="8" t="s">
        <v>173</v>
      </c>
      <c r="AS118" s="21" t="s">
        <v>1989</v>
      </c>
      <c r="AT118" s="21" t="str">
        <f>IFERROR(IF(FIND("?",ckAwdTable[abst_narr_txt]),SummarizeQuestMarks(ckAwdTable[abst_narr_txt]),""),"")</f>
        <v/>
      </c>
      <c r="AU118" s="21"/>
      <c r="AV118" t="s">
        <v>796</v>
      </c>
      <c r="AW118" t="b">
        <f>AND(ckAwdTable[[#This Row],[ILN]]&gt;"M", SUBSTITUTE(ckAwdTable[[#This Row],[prop_titl_txt]]," ","")&lt;&gt;SUBSTITUTE(AV117," ",""))</f>
        <v>0</v>
      </c>
      <c r="AX118" s="8" t="s">
        <v>797</v>
      </c>
    </row>
    <row r="119" spans="2:50">
      <c r="B119" s="30">
        <v>42935.680555555555</v>
      </c>
      <c r="C119" t="s">
        <v>242</v>
      </c>
      <c r="D119" t="s">
        <v>741</v>
      </c>
      <c r="E119" t="s">
        <v>528</v>
      </c>
      <c r="F119" t="s">
        <v>543</v>
      </c>
      <c r="G119" s="8" t="s">
        <v>172</v>
      </c>
      <c r="H119" s="8" t="s">
        <v>170</v>
      </c>
      <c r="I119" s="8" t="s">
        <v>2709</v>
      </c>
      <c r="J119" t="s">
        <v>94</v>
      </c>
      <c r="K119" t="s">
        <v>743</v>
      </c>
      <c r="L119" s="22"/>
      <c r="M119" s="109">
        <f xml:space="preserve"> M118+(ckAwdTable[ILN]&lt;"M")</f>
        <v>95</v>
      </c>
      <c r="N119" t="s">
        <v>96</v>
      </c>
      <c r="O119" t="s">
        <v>1772</v>
      </c>
      <c r="P119" s="15" t="str">
        <f>HYPERLINK("https://www.ejacket.nsf.gov/ej/showProposal.do?ID="&amp;ckAwdTable[[#This Row],[prop_id]],"eJ")</f>
        <v>eJ</v>
      </c>
      <c r="Q119" s="8" t="s">
        <v>742</v>
      </c>
      <c r="R119" t="s">
        <v>1772</v>
      </c>
      <c r="S119" t="s">
        <v>1773</v>
      </c>
      <c r="T119" t="s">
        <v>2441</v>
      </c>
      <c r="U119" s="8" t="s">
        <v>2442</v>
      </c>
      <c r="V119" t="s">
        <v>2207</v>
      </c>
      <c r="W119" s="113" t="str">
        <f>HYPERLINK("mailto:"&amp; ckAwdTable[[#This Row],[email]]&amp;"&amp;subject=Your NSF Proposal:  "&amp;ckAwdTable[[#This Row],[prop_id]], ckAwdTable[[#This Row],[email]])</f>
        <v>periklis.research@gmail.com</v>
      </c>
      <c r="X119" s="30">
        <v>43252</v>
      </c>
      <c r="Y119">
        <v>60</v>
      </c>
      <c r="AA119" s="21" t="s">
        <v>13</v>
      </c>
      <c r="AB119" s="21" t="s">
        <v>424</v>
      </c>
      <c r="AC119"/>
      <c r="AD119" s="21" t="s">
        <v>13</v>
      </c>
      <c r="AE119" s="21" t="s">
        <v>2728</v>
      </c>
      <c r="AF119" s="124">
        <v>667571</v>
      </c>
      <c r="AG119" s="21">
        <v>0</v>
      </c>
      <c r="AH119" s="1">
        <v>667571</v>
      </c>
      <c r="AI119" s="1"/>
      <c r="AJ119" s="1">
        <v>25000</v>
      </c>
      <c r="AM119" s="21">
        <v>5</v>
      </c>
      <c r="AN119" s="21">
        <v>5</v>
      </c>
      <c r="AO119" s="21">
        <v>5</v>
      </c>
      <c r="AP119" s="21"/>
      <c r="AQ119" s="21"/>
      <c r="AR119" s="8" t="s">
        <v>173</v>
      </c>
      <c r="AS119" s="21" t="s">
        <v>1989</v>
      </c>
      <c r="AT119" s="21" t="str">
        <f>IFERROR(IF(FIND("?",ckAwdTable[abst_narr_txt]),SummarizeQuestMarks(ckAwdTable[abst_narr_txt]),""),"")</f>
        <v/>
      </c>
      <c r="AU119" s="21"/>
      <c r="AV119" t="s">
        <v>2444</v>
      </c>
      <c r="AW119" t="b">
        <f>AND(ckAwdTable[[#This Row],[ILN]]&gt;"M", SUBSTITUTE(ckAwdTable[[#This Row],[prop_titl_txt]]," ","")&lt;&gt;SUBSTITUTE(AV118," ",""))</f>
        <v>0</v>
      </c>
      <c r="AX119" s="8" t="s">
        <v>2445</v>
      </c>
    </row>
    <row r="120" spans="2:50">
      <c r="B120" s="30">
        <v>42935.68472222222</v>
      </c>
      <c r="C120" t="s">
        <v>242</v>
      </c>
      <c r="D120" t="s">
        <v>741</v>
      </c>
      <c r="E120" t="s">
        <v>528</v>
      </c>
      <c r="F120" t="s">
        <v>543</v>
      </c>
      <c r="G120" s="8" t="s">
        <v>172</v>
      </c>
      <c r="H120" s="8" t="s">
        <v>170</v>
      </c>
      <c r="I120" s="8" t="s">
        <v>2709</v>
      </c>
      <c r="J120" t="s">
        <v>94</v>
      </c>
      <c r="K120" t="s">
        <v>743</v>
      </c>
      <c r="L120" s="22"/>
      <c r="M120" s="109">
        <f xml:space="preserve"> M119+(ckAwdTable[ILN]&lt;"M")</f>
        <v>96</v>
      </c>
      <c r="N120" t="s">
        <v>96</v>
      </c>
      <c r="O120" t="s">
        <v>1780</v>
      </c>
      <c r="P120" s="15" t="str">
        <f>HYPERLINK("https://www.ejacket.nsf.gov/ej/showProposal.do?ID="&amp;ckAwdTable[[#This Row],[prop_id]],"eJ")</f>
        <v>eJ</v>
      </c>
      <c r="Q120" s="8" t="s">
        <v>742</v>
      </c>
      <c r="R120" t="s">
        <v>1780</v>
      </c>
      <c r="S120" t="s">
        <v>1781</v>
      </c>
      <c r="T120" t="s">
        <v>2446</v>
      </c>
      <c r="U120" s="8" t="s">
        <v>2447</v>
      </c>
      <c r="V120" t="s">
        <v>2107</v>
      </c>
      <c r="W120" s="113" t="str">
        <f>HYPERLINK("mailto:"&amp; ckAwdTable[[#This Row],[email]]&amp;"&amp;subject=Your NSF Proposal:  "&amp;ckAwdTable[[#This Row],[prop_id]], ckAwdTable[[#This Row],[email]])</f>
        <v>gkatz@drexel.edu</v>
      </c>
      <c r="X120" s="30">
        <v>43132</v>
      </c>
      <c r="Y120">
        <v>60</v>
      </c>
      <c r="AA120" s="21" t="s">
        <v>13</v>
      </c>
      <c r="AB120" s="21" t="s">
        <v>424</v>
      </c>
      <c r="AC120"/>
      <c r="AD120" s="21" t="s">
        <v>13</v>
      </c>
      <c r="AE120" s="21" t="s">
        <v>2710</v>
      </c>
      <c r="AF120" s="124">
        <v>559983</v>
      </c>
      <c r="AG120" s="21">
        <v>0</v>
      </c>
      <c r="AH120" s="1">
        <v>559983</v>
      </c>
      <c r="AI120" s="1"/>
      <c r="AJ120" s="1">
        <v>10000</v>
      </c>
      <c r="AM120" s="21">
        <v>5</v>
      </c>
      <c r="AN120" s="21">
        <v>5</v>
      </c>
      <c r="AO120" s="21">
        <v>5</v>
      </c>
      <c r="AP120" s="21"/>
      <c r="AQ120" s="21"/>
      <c r="AR120" s="8" t="s">
        <v>173</v>
      </c>
      <c r="AS120" s="21" t="s">
        <v>1989</v>
      </c>
      <c r="AT120" s="21" t="str">
        <f>IFERROR(IF(FIND("?",ckAwdTable[abst_narr_txt]),SummarizeQuestMarks(ckAwdTable[abst_narr_txt]),""),"")</f>
        <v/>
      </c>
      <c r="AU120" s="21"/>
      <c r="AV120" t="s">
        <v>2448</v>
      </c>
      <c r="AW120" t="b">
        <f>AND(ckAwdTable[[#This Row],[ILN]]&gt;"M", SUBSTITUTE(ckAwdTable[[#This Row],[prop_titl_txt]]," ","")&lt;&gt;SUBSTITUTE(AV119," ",""))</f>
        <v>0</v>
      </c>
      <c r="AX120" s="8" t="s">
        <v>2449</v>
      </c>
    </row>
    <row r="121" spans="2:50">
      <c r="B121" s="30">
        <v>42935.69027777778</v>
      </c>
      <c r="C121" t="s">
        <v>242</v>
      </c>
      <c r="D121" t="s">
        <v>741</v>
      </c>
      <c r="E121" t="s">
        <v>528</v>
      </c>
      <c r="F121" t="s">
        <v>540</v>
      </c>
      <c r="G121" s="8" t="s">
        <v>172</v>
      </c>
      <c r="H121" s="8" t="s">
        <v>170</v>
      </c>
      <c r="I121" s="8" t="s">
        <v>2709</v>
      </c>
      <c r="J121" t="s">
        <v>94</v>
      </c>
      <c r="K121" t="s">
        <v>743</v>
      </c>
      <c r="L121" s="22"/>
      <c r="M121" s="109">
        <f xml:space="preserve"> M120+(ckAwdTable[ILN]&lt;"M")</f>
        <v>97</v>
      </c>
      <c r="N121" t="s">
        <v>96</v>
      </c>
      <c r="O121" t="s">
        <v>686</v>
      </c>
      <c r="P121" s="15" t="str">
        <f>HYPERLINK("https://www.ejacket.nsf.gov/ej/showProposal.do?ID="&amp;ckAwdTable[[#This Row],[prop_id]],"eJ")</f>
        <v>eJ</v>
      </c>
      <c r="Q121" s="8" t="s">
        <v>742</v>
      </c>
      <c r="R121" t="s">
        <v>686</v>
      </c>
      <c r="S121" t="s">
        <v>687</v>
      </c>
      <c r="T121" t="s">
        <v>798</v>
      </c>
      <c r="U121" s="8" t="s">
        <v>799</v>
      </c>
      <c r="V121" t="s">
        <v>345</v>
      </c>
      <c r="W121" s="113" t="str">
        <f>HYPERLINK("mailto:"&amp; ckAwdTable[[#This Row],[email]]&amp;"&amp;subject=Your NSF Proposal:  "&amp;ckAwdTable[[#This Row],[prop_id]], ckAwdTable[[#This Row],[email]])</f>
        <v>evouga@cs.utexas.edu</v>
      </c>
      <c r="X121" s="30">
        <v>43344</v>
      </c>
      <c r="Y121">
        <v>60</v>
      </c>
      <c r="AA121" s="21" t="s">
        <v>13</v>
      </c>
      <c r="AB121" s="21" t="s">
        <v>424</v>
      </c>
      <c r="AC121"/>
      <c r="AD121" s="21" t="s">
        <v>13</v>
      </c>
      <c r="AE121" s="21" t="s">
        <v>2710</v>
      </c>
      <c r="AF121" s="124">
        <v>523537</v>
      </c>
      <c r="AG121" s="21">
        <v>0</v>
      </c>
      <c r="AH121" s="1">
        <v>523537</v>
      </c>
      <c r="AI121" s="1"/>
      <c r="AJ121" s="1">
        <v>15000</v>
      </c>
      <c r="AM121" s="21">
        <v>7</v>
      </c>
      <c r="AN121" s="21">
        <v>5</v>
      </c>
      <c r="AO121" s="21">
        <v>2</v>
      </c>
      <c r="AP121" s="21"/>
      <c r="AQ121" s="21"/>
      <c r="AR121" s="8" t="s">
        <v>173</v>
      </c>
      <c r="AS121" s="21" t="s">
        <v>1989</v>
      </c>
      <c r="AT121" s="21" t="str">
        <f>IFERROR(IF(FIND("?",ckAwdTable[abst_narr_txt]),SummarizeQuestMarks(ckAwdTable[abst_narr_txt]),""),"")</f>
        <v/>
      </c>
      <c r="AU121" s="21"/>
      <c r="AV121" t="s">
        <v>800</v>
      </c>
      <c r="AW121" t="b">
        <f>AND(ckAwdTable[[#This Row],[ILN]]&gt;"M", SUBSTITUTE(ckAwdTable[[#This Row],[prop_titl_txt]]," ","")&lt;&gt;SUBSTITUTE(AV120," ",""))</f>
        <v>0</v>
      </c>
      <c r="AX121" s="8" t="s">
        <v>801</v>
      </c>
    </row>
    <row r="122" spans="2:50">
      <c r="B122" s="30">
        <v>42935.696527777778</v>
      </c>
      <c r="C122" t="s">
        <v>242</v>
      </c>
      <c r="D122" t="s">
        <v>741</v>
      </c>
      <c r="E122" t="s">
        <v>528</v>
      </c>
      <c r="F122" t="s">
        <v>540</v>
      </c>
      <c r="G122" s="8" t="s">
        <v>172</v>
      </c>
      <c r="H122" s="8" t="s">
        <v>170</v>
      </c>
      <c r="I122" s="8" t="s">
        <v>2709</v>
      </c>
      <c r="J122" t="s">
        <v>94</v>
      </c>
      <c r="K122" t="s">
        <v>743</v>
      </c>
      <c r="L122" s="22"/>
      <c r="M122" s="109">
        <f xml:space="preserve"> M121+(ckAwdTable[ILN]&lt;"M")</f>
        <v>98</v>
      </c>
      <c r="N122" t="s">
        <v>96</v>
      </c>
      <c r="O122" t="s">
        <v>695</v>
      </c>
      <c r="P122" s="15" t="str">
        <f>HYPERLINK("https://www.ejacket.nsf.gov/ej/showProposal.do?ID="&amp;ckAwdTable[[#This Row],[prop_id]],"eJ")</f>
        <v>eJ</v>
      </c>
      <c r="Q122" s="8" t="s">
        <v>742</v>
      </c>
      <c r="R122" t="s">
        <v>695</v>
      </c>
      <c r="S122" t="s">
        <v>696</v>
      </c>
      <c r="T122" t="s">
        <v>803</v>
      </c>
      <c r="U122" s="8" t="s">
        <v>804</v>
      </c>
      <c r="V122" t="s">
        <v>802</v>
      </c>
      <c r="W122" s="113" t="str">
        <f>HYPERLINK("mailto:"&amp; ckAwdTable[[#This Row],[email]]&amp;"&amp;subject=Your NSF Proposal:  "&amp;ckAwdTable[[#This Row],[prop_id]], ckAwdTable[[#This Row],[email]])</f>
        <v>nayyeria@eecs.oregonstate.edu</v>
      </c>
      <c r="X122" s="30">
        <v>43344</v>
      </c>
      <c r="Y122">
        <v>60</v>
      </c>
      <c r="AA122" s="21" t="s">
        <v>13</v>
      </c>
      <c r="AB122" s="21" t="s">
        <v>424</v>
      </c>
      <c r="AC122"/>
      <c r="AD122" s="21" t="s">
        <v>13</v>
      </c>
      <c r="AE122" s="21" t="s">
        <v>2710</v>
      </c>
      <c r="AF122" s="124">
        <v>607459</v>
      </c>
      <c r="AG122" s="21">
        <v>0</v>
      </c>
      <c r="AH122" s="1">
        <v>607459</v>
      </c>
      <c r="AI122" s="1"/>
      <c r="AJ122" s="1">
        <v>23133</v>
      </c>
      <c r="AL122" s="1">
        <v>5500</v>
      </c>
      <c r="AM122" s="21">
        <v>5</v>
      </c>
      <c r="AN122" s="21">
        <v>5</v>
      </c>
      <c r="AO122" s="21">
        <v>4.5</v>
      </c>
      <c r="AP122" s="21"/>
      <c r="AQ122" s="21"/>
      <c r="AR122" s="8" t="s">
        <v>173</v>
      </c>
      <c r="AS122" s="21" t="s">
        <v>1989</v>
      </c>
      <c r="AT122" s="21" t="str">
        <f>IFERROR(IF(FIND("?",ckAwdTable[abst_narr_txt]),SummarizeQuestMarks(ckAwdTable[abst_narr_txt]),""),"")</f>
        <v/>
      </c>
      <c r="AU122" s="21"/>
      <c r="AV122" t="s">
        <v>806</v>
      </c>
      <c r="AW122" t="b">
        <f>AND(ckAwdTable[[#This Row],[ILN]]&gt;"M", SUBSTITUTE(ckAwdTable[[#This Row],[prop_titl_txt]]," ","")&lt;&gt;SUBSTITUTE(AV121," ",""))</f>
        <v>0</v>
      </c>
      <c r="AX122" s="8" t="s">
        <v>807</v>
      </c>
    </row>
    <row r="123" spans="2:50">
      <c r="B123" s="30">
        <v>42935.70416666667</v>
      </c>
      <c r="C123" t="s">
        <v>242</v>
      </c>
      <c r="D123" t="s">
        <v>741</v>
      </c>
      <c r="E123" t="s">
        <v>528</v>
      </c>
      <c r="F123" t="s">
        <v>1530</v>
      </c>
      <c r="G123" s="8" t="s">
        <v>172</v>
      </c>
      <c r="H123" s="8" t="s">
        <v>170</v>
      </c>
      <c r="I123" s="8" t="s">
        <v>2709</v>
      </c>
      <c r="J123" t="s">
        <v>94</v>
      </c>
      <c r="K123" t="s">
        <v>743</v>
      </c>
      <c r="L123" s="22"/>
      <c r="M123" s="109">
        <f xml:space="preserve"> M122+(ckAwdTable[ILN]&lt;"M")</f>
        <v>99</v>
      </c>
      <c r="N123" t="s">
        <v>96</v>
      </c>
      <c r="O123" t="s">
        <v>1788</v>
      </c>
      <c r="P123" s="15" t="str">
        <f>HYPERLINK("https://www.ejacket.nsf.gov/ej/showProposal.do?ID="&amp;ckAwdTable[[#This Row],[prop_id]],"eJ")</f>
        <v>eJ</v>
      </c>
      <c r="Q123" s="8" t="s">
        <v>742</v>
      </c>
      <c r="R123" t="s">
        <v>1788</v>
      </c>
      <c r="S123" t="s">
        <v>1789</v>
      </c>
      <c r="T123" t="s">
        <v>2451</v>
      </c>
      <c r="U123" s="8" t="s">
        <v>2452</v>
      </c>
      <c r="V123" t="s">
        <v>112</v>
      </c>
      <c r="W123" s="113" t="str">
        <f>HYPERLINK("mailto:"&amp; ckAwdTable[[#This Row],[email]]&amp;"&amp;subject=Your NSF Proposal:  "&amp;ckAwdTable[[#This Row],[prop_id]], ckAwdTable[[#This Row],[email]])</f>
        <v>maxwelly@outlook.com</v>
      </c>
      <c r="X123" s="30">
        <v>43344</v>
      </c>
      <c r="Y123">
        <v>60</v>
      </c>
      <c r="AA123" s="21" t="s">
        <v>13</v>
      </c>
      <c r="AB123" s="21" t="s">
        <v>424</v>
      </c>
      <c r="AC123"/>
      <c r="AD123" s="21" t="s">
        <v>13</v>
      </c>
      <c r="AE123" s="21" t="s">
        <v>2710</v>
      </c>
      <c r="AF123" s="124">
        <v>400000</v>
      </c>
      <c r="AG123" s="21">
        <v>0</v>
      </c>
      <c r="AH123" s="1">
        <v>400000</v>
      </c>
      <c r="AI123" s="1"/>
      <c r="AJ123" s="1">
        <v>15000</v>
      </c>
      <c r="AM123" s="21">
        <v>5</v>
      </c>
      <c r="AN123" s="21">
        <v>5</v>
      </c>
      <c r="AO123" s="21">
        <v>2.5</v>
      </c>
      <c r="AP123" s="21"/>
      <c r="AQ123" s="21"/>
      <c r="AR123" s="8" t="s">
        <v>173</v>
      </c>
      <c r="AS123" s="21" t="s">
        <v>1989</v>
      </c>
      <c r="AT123" s="21" t="str">
        <f>IFERROR(IF(FIND("?",ckAwdTable[abst_narr_txt]),SummarizeQuestMarks(ckAwdTable[abst_narr_txt]),""),"")</f>
        <v/>
      </c>
      <c r="AU123" s="21"/>
      <c r="AV123" t="s">
        <v>2454</v>
      </c>
      <c r="AW123" t="b">
        <f>AND(ckAwdTable[[#This Row],[ILN]]&gt;"M", SUBSTITUTE(ckAwdTable[[#This Row],[prop_titl_txt]]," ","")&lt;&gt;SUBSTITUTE(AV122," ",""))</f>
        <v>0</v>
      </c>
      <c r="AX123" s="8" t="s">
        <v>2455</v>
      </c>
    </row>
    <row r="124" spans="2:50">
      <c r="B124" s="30">
        <v>42935.717361111114</v>
      </c>
      <c r="C124" t="s">
        <v>242</v>
      </c>
      <c r="D124" t="s">
        <v>741</v>
      </c>
      <c r="E124" t="s">
        <v>528</v>
      </c>
      <c r="F124" t="s">
        <v>543</v>
      </c>
      <c r="G124" s="8" t="s">
        <v>172</v>
      </c>
      <c r="H124" s="8" t="s">
        <v>170</v>
      </c>
      <c r="I124" s="8" t="s">
        <v>2709</v>
      </c>
      <c r="J124" t="s">
        <v>94</v>
      </c>
      <c r="K124" t="s">
        <v>743</v>
      </c>
      <c r="L124" s="22"/>
      <c r="M124" s="109">
        <f xml:space="preserve"> M123+(ckAwdTable[ILN]&lt;"M")</f>
        <v>100</v>
      </c>
      <c r="N124" t="s">
        <v>96</v>
      </c>
      <c r="O124" t="s">
        <v>1796</v>
      </c>
      <c r="P124" s="15" t="str">
        <f>HYPERLINK("https://www.ejacket.nsf.gov/ej/showProposal.do?ID="&amp;ckAwdTable[[#This Row],[prop_id]],"eJ")</f>
        <v>eJ</v>
      </c>
      <c r="Q124" s="8" t="s">
        <v>742</v>
      </c>
      <c r="R124" t="s">
        <v>1796</v>
      </c>
      <c r="S124" t="s">
        <v>1797</v>
      </c>
      <c r="T124" t="s">
        <v>2456</v>
      </c>
      <c r="U124" s="8" t="s">
        <v>2193</v>
      </c>
      <c r="V124" t="s">
        <v>2192</v>
      </c>
      <c r="W124" s="113" t="str">
        <f>HYPERLINK("mailto:"&amp; ckAwdTable[[#This Row],[email]]&amp;"&amp;subject=Your NSF Proposal:  "&amp;ckAwdTable[[#This Row],[prop_id]], ckAwdTable[[#This Row],[email]])</f>
        <v>bhaskara@cs.utah.edu</v>
      </c>
      <c r="X124" s="30">
        <v>43313</v>
      </c>
      <c r="Y124">
        <v>60</v>
      </c>
      <c r="AA124" s="21" t="s">
        <v>13</v>
      </c>
      <c r="AB124" s="21" t="s">
        <v>424</v>
      </c>
      <c r="AC124"/>
      <c r="AD124" s="21" t="s">
        <v>13</v>
      </c>
      <c r="AE124" s="21" t="s">
        <v>2710</v>
      </c>
      <c r="AF124" s="124">
        <v>536841</v>
      </c>
      <c r="AG124" s="21">
        <v>0</v>
      </c>
      <c r="AH124" s="1">
        <v>536841</v>
      </c>
      <c r="AI124" s="1"/>
      <c r="AJ124" s="1">
        <v>27500</v>
      </c>
      <c r="AL124" s="1">
        <v>20000</v>
      </c>
      <c r="AM124" s="21">
        <v>5</v>
      </c>
      <c r="AN124" s="21">
        <v>5</v>
      </c>
      <c r="AO124" s="21">
        <v>5</v>
      </c>
      <c r="AP124" s="21"/>
      <c r="AQ124" s="21"/>
      <c r="AR124" s="8" t="s">
        <v>173</v>
      </c>
      <c r="AS124" s="21" t="s">
        <v>1989</v>
      </c>
      <c r="AT124" s="21" t="str">
        <f>IFERROR(IF(FIND("?",ckAwdTable[abst_narr_txt]),SummarizeQuestMarks(ckAwdTable[abst_narr_txt]),""),"")</f>
        <v/>
      </c>
      <c r="AU124" s="21"/>
      <c r="AV124" t="s">
        <v>2457</v>
      </c>
      <c r="AW124" t="b">
        <f>AND(ckAwdTable[[#This Row],[ILN]]&gt;"M", SUBSTITUTE(ckAwdTable[[#This Row],[prop_titl_txt]]," ","")&lt;&gt;SUBSTITUTE(AV123," ",""))</f>
        <v>0</v>
      </c>
      <c r="AX124" s="8" t="s">
        <v>2458</v>
      </c>
    </row>
    <row r="125" spans="2:50">
      <c r="B125" s="30">
        <v>42935.723611111112</v>
      </c>
      <c r="C125" t="s">
        <v>242</v>
      </c>
      <c r="D125" t="s">
        <v>741</v>
      </c>
      <c r="E125" t="s">
        <v>528</v>
      </c>
      <c r="F125" t="s">
        <v>543</v>
      </c>
      <c r="G125" s="8" t="s">
        <v>172</v>
      </c>
      <c r="H125" s="8" t="s">
        <v>170</v>
      </c>
      <c r="I125" s="8" t="s">
        <v>2709</v>
      </c>
      <c r="J125" t="s">
        <v>94</v>
      </c>
      <c r="K125" t="s">
        <v>743</v>
      </c>
      <c r="L125" s="22"/>
      <c r="M125" s="109">
        <f xml:space="preserve"> M124+(ckAwdTable[ILN]&lt;"M")</f>
        <v>101</v>
      </c>
      <c r="N125" t="s">
        <v>96</v>
      </c>
      <c r="O125" t="s">
        <v>1804</v>
      </c>
      <c r="P125" s="15" t="str">
        <f>HYPERLINK("https://www.ejacket.nsf.gov/ej/showProposal.do?ID="&amp;ckAwdTable[[#This Row],[prop_id]],"eJ")</f>
        <v>eJ</v>
      </c>
      <c r="Q125" s="8" t="s">
        <v>742</v>
      </c>
      <c r="R125" t="s">
        <v>1804</v>
      </c>
      <c r="S125" t="s">
        <v>1805</v>
      </c>
      <c r="T125" t="s">
        <v>2460</v>
      </c>
      <c r="U125" s="8" t="s">
        <v>2203</v>
      </c>
      <c r="V125" t="s">
        <v>1988</v>
      </c>
      <c r="W125" s="113" t="str">
        <f>HYPERLINK("mailto:"&amp; ckAwdTable[[#This Row],[email]]&amp;"&amp;subject=Your NSF Proposal:  "&amp;ckAwdTable[[#This Row],[prop_id]], ckAwdTable[[#This Row],[email]])</f>
        <v>brittany@cs.montana.edu</v>
      </c>
      <c r="X125" s="30">
        <v>43344</v>
      </c>
      <c r="Y125">
        <v>60</v>
      </c>
      <c r="Z125" t="s">
        <v>2715</v>
      </c>
      <c r="AA125" s="21" t="s">
        <v>13</v>
      </c>
      <c r="AB125" s="21" t="s">
        <v>424</v>
      </c>
      <c r="AC125"/>
      <c r="AD125" s="21" t="s">
        <v>13</v>
      </c>
      <c r="AE125" s="21" t="s">
        <v>2729</v>
      </c>
      <c r="AF125" s="124">
        <v>552355</v>
      </c>
      <c r="AG125" s="21">
        <v>0</v>
      </c>
      <c r="AH125" s="1">
        <v>552355</v>
      </c>
      <c r="AI125" s="1"/>
      <c r="AJ125" s="1">
        <v>13000</v>
      </c>
      <c r="AM125" s="21">
        <v>12</v>
      </c>
      <c r="AN125" s="21">
        <v>5</v>
      </c>
      <c r="AO125" s="21">
        <v>5</v>
      </c>
      <c r="AP125" s="21"/>
      <c r="AQ125" s="21"/>
      <c r="AR125" s="8" t="s">
        <v>173</v>
      </c>
      <c r="AS125" s="21" t="s">
        <v>1989</v>
      </c>
      <c r="AT125" s="21" t="str">
        <f>IFERROR(IF(FIND("?",ckAwdTable[abst_narr_txt]),SummarizeQuestMarks(ckAwdTable[abst_narr_txt]),""),"")</f>
        <v/>
      </c>
      <c r="AU125" s="21"/>
      <c r="AV125" t="s">
        <v>2461</v>
      </c>
      <c r="AW125" t="b">
        <f>AND(ckAwdTable[[#This Row],[ILN]]&gt;"M", SUBSTITUTE(ckAwdTable[[#This Row],[prop_titl_txt]]," ","")&lt;&gt;SUBSTITUTE(AV124," ",""))</f>
        <v>0</v>
      </c>
      <c r="AX125" s="8" t="s">
        <v>2462</v>
      </c>
    </row>
    <row r="126" spans="2:50">
      <c r="B126" s="30">
        <v>42935.851388888892</v>
      </c>
      <c r="C126" t="s">
        <v>242</v>
      </c>
      <c r="D126" t="s">
        <v>741</v>
      </c>
      <c r="E126" t="s">
        <v>528</v>
      </c>
      <c r="F126" t="s">
        <v>1530</v>
      </c>
      <c r="G126" s="8" t="s">
        <v>172</v>
      </c>
      <c r="H126" s="8" t="s">
        <v>170</v>
      </c>
      <c r="I126" s="8" t="s">
        <v>2709</v>
      </c>
      <c r="J126" t="s">
        <v>94</v>
      </c>
      <c r="K126" t="s">
        <v>743</v>
      </c>
      <c r="L126" s="22"/>
      <c r="M126" s="109">
        <f xml:space="preserve"> M125+(ckAwdTable[ILN]&lt;"M")</f>
        <v>102</v>
      </c>
      <c r="N126" t="s">
        <v>96</v>
      </c>
      <c r="O126" t="s">
        <v>1812</v>
      </c>
      <c r="P126" s="15" t="str">
        <f>HYPERLINK("https://www.ejacket.nsf.gov/ej/showProposal.do?ID="&amp;ckAwdTable[[#This Row],[prop_id]],"eJ")</f>
        <v>eJ</v>
      </c>
      <c r="Q126" s="8" t="s">
        <v>742</v>
      </c>
      <c r="R126" t="s">
        <v>1812</v>
      </c>
      <c r="S126" t="s">
        <v>1813</v>
      </c>
      <c r="T126" t="s">
        <v>2463</v>
      </c>
      <c r="U126" s="8" t="s">
        <v>2464</v>
      </c>
      <c r="V126" t="s">
        <v>101</v>
      </c>
      <c r="W126" s="113" t="str">
        <f>HYPERLINK("mailto:"&amp; ckAwdTable[[#This Row],[email]]&amp;"&amp;subject=Your NSF Proposal:  "&amp;ckAwdTable[[#This Row],[prop_id]], ckAwdTable[[#This Row],[email]])</f>
        <v>nodari@hawaii.edu</v>
      </c>
      <c r="X126" s="30">
        <v>43160</v>
      </c>
      <c r="Y126">
        <v>60</v>
      </c>
      <c r="AA126" s="21" t="s">
        <v>13</v>
      </c>
      <c r="AB126" s="21" t="s">
        <v>424</v>
      </c>
      <c r="AC126"/>
      <c r="AD126" s="21" t="s">
        <v>13</v>
      </c>
      <c r="AE126" s="21" t="s">
        <v>2710</v>
      </c>
      <c r="AF126" s="124">
        <v>549999</v>
      </c>
      <c r="AG126" s="21">
        <v>0</v>
      </c>
      <c r="AH126" s="1">
        <v>549999</v>
      </c>
      <c r="AI126" s="1"/>
      <c r="AJ126" s="1">
        <v>20000</v>
      </c>
      <c r="AM126" s="21">
        <v>5</v>
      </c>
      <c r="AN126" s="21">
        <v>5</v>
      </c>
      <c r="AO126" s="21">
        <v>5</v>
      </c>
      <c r="AP126" s="21">
        <v>4.5199999999999996</v>
      </c>
      <c r="AQ126" s="21"/>
      <c r="AR126" s="8" t="s">
        <v>173</v>
      </c>
      <c r="AS126" s="21" t="s">
        <v>1989</v>
      </c>
      <c r="AT126" s="21" t="str">
        <f>IFERROR(IF(FIND("?",ckAwdTable[abst_narr_txt]),SummarizeQuestMarks(ckAwdTable[abst_narr_txt]),""),"")</f>
        <v/>
      </c>
      <c r="AU126" s="21"/>
      <c r="AV126" t="s">
        <v>2466</v>
      </c>
      <c r="AW126" t="b">
        <f>AND(ckAwdTable[[#This Row],[ILN]]&gt;"M", SUBSTITUTE(ckAwdTable[[#This Row],[prop_titl_txt]]," ","")&lt;&gt;SUBSTITUTE(AV125," ",""))</f>
        <v>0</v>
      </c>
      <c r="AX126" s="8" t="s">
        <v>2467</v>
      </c>
    </row>
    <row r="127" spans="2:50">
      <c r="B127" s="30">
        <v>42950.663888888892</v>
      </c>
      <c r="C127" t="s">
        <v>808</v>
      </c>
      <c r="D127" t="s">
        <v>2348</v>
      </c>
      <c r="E127" t="s">
        <v>903</v>
      </c>
      <c r="F127" t="s">
        <v>1823</v>
      </c>
      <c r="G127" s="8" t="s">
        <v>172</v>
      </c>
      <c r="H127" s="8" t="s">
        <v>170</v>
      </c>
      <c r="I127" s="8" t="s">
        <v>2709</v>
      </c>
      <c r="J127" t="s">
        <v>94</v>
      </c>
      <c r="K127" t="s">
        <v>2468</v>
      </c>
      <c r="L127" s="22"/>
      <c r="M127" s="109">
        <f xml:space="preserve"> M126+(ckAwdTable[ILN]&lt;"M")</f>
        <v>103</v>
      </c>
      <c r="N127" t="s">
        <v>96</v>
      </c>
      <c r="O127" t="s">
        <v>1820</v>
      </c>
      <c r="P127" s="15" t="str">
        <f>HYPERLINK("https://www.ejacket.nsf.gov/ej/showProposal.do?ID="&amp;ckAwdTable[[#This Row],[prop_id]],"eJ")</f>
        <v>eJ</v>
      </c>
      <c r="Q127" s="8" t="s">
        <v>2351</v>
      </c>
      <c r="R127" t="s">
        <v>1820</v>
      </c>
      <c r="S127" t="s">
        <v>1821</v>
      </c>
      <c r="T127" t="s">
        <v>2470</v>
      </c>
      <c r="U127" s="8" t="s">
        <v>2209</v>
      </c>
      <c r="V127" t="s">
        <v>2207</v>
      </c>
      <c r="W127" s="113" t="str">
        <f>HYPERLINK("mailto:"&amp; ckAwdTable[[#This Row],[email]]&amp;"&amp;subject=Your NSF Proposal:  "&amp;ckAwdTable[[#This Row],[prop_id]], ckAwdTable[[#This Row],[email]])</f>
        <v>ani.majumdar@princeton.edu</v>
      </c>
      <c r="X127" s="30">
        <v>42979</v>
      </c>
      <c r="Y127">
        <v>24</v>
      </c>
      <c r="AA127" s="21" t="s">
        <v>13</v>
      </c>
      <c r="AB127" s="21" t="s">
        <v>424</v>
      </c>
      <c r="AC127"/>
      <c r="AD127" s="21" t="s">
        <v>13</v>
      </c>
      <c r="AF127" s="124">
        <v>175000</v>
      </c>
      <c r="AG127" s="21">
        <v>0</v>
      </c>
      <c r="AH127" s="1">
        <v>175000</v>
      </c>
      <c r="AI127" s="1"/>
      <c r="AJ127" s="1"/>
      <c r="AM127" s="21">
        <v>2</v>
      </c>
      <c r="AN127" s="21"/>
      <c r="AO127" s="21"/>
      <c r="AP127" s="21"/>
      <c r="AQ127" s="21"/>
      <c r="AR127" s="8" t="s">
        <v>173</v>
      </c>
      <c r="AS127" s="21" t="s">
        <v>1989</v>
      </c>
      <c r="AT127" s="21" t="str">
        <f>IFERROR(IF(FIND("?",ckAwdTable[abst_narr_txt]),SummarizeQuestMarks(ckAwdTable[abst_narr_txt]),""),"")</f>
        <v/>
      </c>
      <c r="AU127" s="21"/>
      <c r="AV127" t="s">
        <v>2472</v>
      </c>
      <c r="AW127" t="b">
        <f>AND(ckAwdTable[[#This Row],[ILN]]&gt;"M", SUBSTITUTE(ckAwdTable[[#This Row],[prop_titl_txt]]," ","")&lt;&gt;SUBSTITUTE(AV126," ",""))</f>
        <v>0</v>
      </c>
      <c r="AX127" s="8" t="s">
        <v>2473</v>
      </c>
    </row>
    <row r="128" spans="2:50">
      <c r="B128" s="30">
        <v>42954.456944444442</v>
      </c>
      <c r="C128" t="s">
        <v>808</v>
      </c>
      <c r="D128" t="s">
        <v>741</v>
      </c>
      <c r="E128" t="s">
        <v>526</v>
      </c>
      <c r="F128" t="s">
        <v>543</v>
      </c>
      <c r="G128" s="8" t="s">
        <v>172</v>
      </c>
      <c r="H128" s="8" t="s">
        <v>170</v>
      </c>
      <c r="I128" s="8" t="s">
        <v>2709</v>
      </c>
      <c r="J128" t="s">
        <v>94</v>
      </c>
      <c r="K128" t="s">
        <v>809</v>
      </c>
      <c r="L128" s="22"/>
      <c r="M128" s="109">
        <f xml:space="preserve"> M127+(ckAwdTable[ILN]&lt;"M")</f>
        <v>104</v>
      </c>
      <c r="N128" t="s">
        <v>96</v>
      </c>
      <c r="O128" t="s">
        <v>1847</v>
      </c>
      <c r="P128" s="15" t="str">
        <f>HYPERLINK("https://www.ejacket.nsf.gov/ej/showProposal.do?ID="&amp;ckAwdTable[[#This Row],[prop_id]],"eJ")</f>
        <v>eJ</v>
      </c>
      <c r="Q128" s="8" t="s">
        <v>742</v>
      </c>
      <c r="R128" t="s">
        <v>1847</v>
      </c>
      <c r="S128" t="s">
        <v>1848</v>
      </c>
      <c r="T128" t="s">
        <v>2474</v>
      </c>
      <c r="U128" s="8" t="s">
        <v>2475</v>
      </c>
      <c r="V128" t="s">
        <v>2131</v>
      </c>
      <c r="W128" s="113" t="str">
        <f>HYPERLINK("mailto:"&amp; ckAwdTable[[#This Row],[email]]&amp;"&amp;subject=Your NSF Proposal:  "&amp;ckAwdTable[[#This Row],[prop_id]], ckAwdTable[[#This Row],[email]])</f>
        <v>wtong@georgiasouthern.edu</v>
      </c>
      <c r="X128" s="30">
        <v>43235</v>
      </c>
      <c r="Y128">
        <v>24</v>
      </c>
      <c r="AA128" s="21" t="s">
        <v>13</v>
      </c>
      <c r="AB128" s="21" t="s">
        <v>424</v>
      </c>
      <c r="AC128"/>
      <c r="AD128" s="21" t="s">
        <v>13</v>
      </c>
      <c r="AE128" s="21" t="s">
        <v>2730</v>
      </c>
      <c r="AF128" s="124">
        <v>162689</v>
      </c>
      <c r="AG128" s="21">
        <v>0</v>
      </c>
      <c r="AH128" s="1">
        <v>162689</v>
      </c>
      <c r="AI128" s="1"/>
      <c r="AJ128" s="1">
        <v>8120</v>
      </c>
      <c r="AM128" s="21">
        <v>4</v>
      </c>
      <c r="AN128" s="21"/>
      <c r="AO128" s="21"/>
      <c r="AP128" s="21"/>
      <c r="AQ128" s="21"/>
      <c r="AR128" s="8" t="s">
        <v>173</v>
      </c>
      <c r="AS128" s="21" t="s">
        <v>1989</v>
      </c>
      <c r="AT128" s="21" t="str">
        <f>IFERROR(IF(FIND("?",ckAwdTable[abst_narr_txt]),SummarizeQuestMarks(ckAwdTable[abst_narr_txt]),""),"")</f>
        <v/>
      </c>
      <c r="AU128" s="21"/>
      <c r="AV128" t="s">
        <v>2476</v>
      </c>
      <c r="AW128" t="b">
        <f>AND(ckAwdTable[[#This Row],[ILN]]&gt;"M", SUBSTITUTE(ckAwdTable[[#This Row],[prop_titl_txt]]," ","")&lt;&gt;SUBSTITUTE(AV127," ",""))</f>
        <v>0</v>
      </c>
      <c r="AX128" s="8" t="s">
        <v>2477</v>
      </c>
    </row>
    <row r="129" spans="2:50">
      <c r="B129" s="30">
        <v>42954.500694444447</v>
      </c>
      <c r="C129" t="s">
        <v>808</v>
      </c>
      <c r="D129" t="s">
        <v>741</v>
      </c>
      <c r="E129" t="s">
        <v>526</v>
      </c>
      <c r="F129" t="s">
        <v>1530</v>
      </c>
      <c r="G129" s="8" t="s">
        <v>172</v>
      </c>
      <c r="H129" s="8" t="s">
        <v>170</v>
      </c>
      <c r="I129" s="8" t="s">
        <v>2709</v>
      </c>
      <c r="J129" t="s">
        <v>94</v>
      </c>
      <c r="K129" t="s">
        <v>809</v>
      </c>
      <c r="L129" s="22"/>
      <c r="M129" s="109">
        <f xml:space="preserve"> M128+(ckAwdTable[ILN]&lt;"M")</f>
        <v>105</v>
      </c>
      <c r="N129" t="s">
        <v>96</v>
      </c>
      <c r="O129" t="s">
        <v>1854</v>
      </c>
      <c r="P129" s="15" t="str">
        <f>HYPERLINK("https://www.ejacket.nsf.gov/ej/showProposal.do?ID="&amp;ckAwdTable[[#This Row],[prop_id]],"eJ")</f>
        <v>eJ</v>
      </c>
      <c r="Q129" s="8" t="s">
        <v>742</v>
      </c>
      <c r="R129" t="s">
        <v>1854</v>
      </c>
      <c r="S129" t="s">
        <v>336</v>
      </c>
      <c r="T129" t="s">
        <v>2478</v>
      </c>
      <c r="U129" s="8" t="s">
        <v>2475</v>
      </c>
      <c r="V129" t="s">
        <v>2131</v>
      </c>
      <c r="W129" s="113" t="str">
        <f>HYPERLINK("mailto:"&amp; ckAwdTable[[#This Row],[email]]&amp;"&amp;subject=Your NSF Proposal:  "&amp;ckAwdTable[[#This Row],[prop_id]], ckAwdTable[[#This Row],[email]])</f>
        <v>kwang@georgiasouthern.edu</v>
      </c>
      <c r="X129" s="30">
        <v>43101</v>
      </c>
      <c r="Y129">
        <v>24</v>
      </c>
      <c r="AA129" s="21" t="s">
        <v>13</v>
      </c>
      <c r="AB129" s="21" t="s">
        <v>424</v>
      </c>
      <c r="AC129"/>
      <c r="AD129" s="21" t="s">
        <v>13</v>
      </c>
      <c r="AF129" s="124">
        <v>168126</v>
      </c>
      <c r="AG129" s="21">
        <v>0</v>
      </c>
      <c r="AH129" s="1">
        <v>168126</v>
      </c>
      <c r="AI129" s="1"/>
      <c r="AJ129" s="1"/>
      <c r="AM129" s="21">
        <v>4</v>
      </c>
      <c r="AN129" s="21"/>
      <c r="AO129" s="21"/>
      <c r="AP129" s="21"/>
      <c r="AQ129" s="21"/>
      <c r="AR129" s="8" t="s">
        <v>173</v>
      </c>
      <c r="AS129" s="21" t="s">
        <v>1989</v>
      </c>
      <c r="AT129" s="21" t="str">
        <f>IFERROR(IF(FIND("?",ckAwdTable[abst_narr_txt]),SummarizeQuestMarks(ckAwdTable[abst_narr_txt]),""),"")</f>
        <v/>
      </c>
      <c r="AU129" s="21"/>
      <c r="AV129" t="s">
        <v>2480</v>
      </c>
      <c r="AW129" t="b">
        <f>AND(ckAwdTable[[#This Row],[ILN]]&gt;"M", SUBSTITUTE(ckAwdTable[[#This Row],[prop_titl_txt]]," ","")&lt;&gt;SUBSTITUTE(AV128," ",""))</f>
        <v>0</v>
      </c>
      <c r="AX129" s="8" t="s">
        <v>2481</v>
      </c>
    </row>
    <row r="130" spans="2:50">
      <c r="B130" s="30">
        <v>42955.429861111108</v>
      </c>
      <c r="C130" t="s">
        <v>808</v>
      </c>
      <c r="D130" t="s">
        <v>741</v>
      </c>
      <c r="E130" t="s">
        <v>526</v>
      </c>
      <c r="F130" t="s">
        <v>1530</v>
      </c>
      <c r="G130" s="8" t="s">
        <v>172</v>
      </c>
      <c r="H130" s="8" t="s">
        <v>170</v>
      </c>
      <c r="I130" s="8" t="s">
        <v>2709</v>
      </c>
      <c r="J130" t="s">
        <v>94</v>
      </c>
      <c r="K130" t="s">
        <v>809</v>
      </c>
      <c r="L130" s="22"/>
      <c r="M130" s="109">
        <f xml:space="preserve"> M129+(ckAwdTable[ILN]&lt;"M")</f>
        <v>106</v>
      </c>
      <c r="N130" t="s">
        <v>96</v>
      </c>
      <c r="O130" t="s">
        <v>1860</v>
      </c>
      <c r="P130" s="15" t="str">
        <f>HYPERLINK("https://www.ejacket.nsf.gov/ej/showProposal.do?ID="&amp;ckAwdTable[[#This Row],[prop_id]],"eJ")</f>
        <v>eJ</v>
      </c>
      <c r="Q130" s="8" t="s">
        <v>742</v>
      </c>
      <c r="R130" t="s">
        <v>1860</v>
      </c>
      <c r="S130" t="s">
        <v>1861</v>
      </c>
      <c r="T130" t="s">
        <v>2482</v>
      </c>
      <c r="U130" s="8" t="s">
        <v>2078</v>
      </c>
      <c r="V130" t="s">
        <v>2039</v>
      </c>
      <c r="W130" s="113" t="str">
        <f>HYPERLINK("mailto:"&amp; ckAwdTable[[#This Row],[email]]&amp;"&amp;subject=Your NSF Proposal:  "&amp;ckAwdTable[[#This Row],[prop_id]], ckAwdTable[[#This Row],[email]])</f>
        <v>yzhoucs@indiana.edu</v>
      </c>
      <c r="X130" s="30">
        <v>43101</v>
      </c>
      <c r="Y130">
        <v>24</v>
      </c>
      <c r="AA130" s="21" t="s">
        <v>13</v>
      </c>
      <c r="AB130" s="21" t="s">
        <v>424</v>
      </c>
      <c r="AC130"/>
      <c r="AD130" s="21" t="s">
        <v>13</v>
      </c>
      <c r="AE130" s="21" t="s">
        <v>2710</v>
      </c>
      <c r="AF130" s="124">
        <v>174974</v>
      </c>
      <c r="AG130" s="21">
        <v>0</v>
      </c>
      <c r="AH130" s="1">
        <v>174974</v>
      </c>
      <c r="AI130" s="1"/>
      <c r="AJ130" s="1">
        <v>8400</v>
      </c>
      <c r="AM130" s="21">
        <v>3</v>
      </c>
      <c r="AN130" s="21"/>
      <c r="AO130" s="21"/>
      <c r="AP130" s="21"/>
      <c r="AQ130" s="21"/>
      <c r="AR130" s="8" t="s">
        <v>173</v>
      </c>
      <c r="AS130" s="21" t="s">
        <v>1989</v>
      </c>
      <c r="AT130" s="21" t="str">
        <f>IFERROR(IF(FIND("?",ckAwdTable[abst_narr_txt]),SummarizeQuestMarks(ckAwdTable[abst_narr_txt]),""),"")</f>
        <v/>
      </c>
      <c r="AU130" s="21"/>
      <c r="AV130" t="s">
        <v>2483</v>
      </c>
      <c r="AW130" t="b">
        <f>AND(ckAwdTable[[#This Row],[ILN]]&gt;"M", SUBSTITUTE(ckAwdTable[[#This Row],[prop_titl_txt]]," ","")&lt;&gt;SUBSTITUTE(AV129," ",""))</f>
        <v>0</v>
      </c>
      <c r="AX130" s="8" t="s">
        <v>2484</v>
      </c>
    </row>
    <row r="131" spans="2:50">
      <c r="B131" s="30">
        <v>42955.700694444444</v>
      </c>
      <c r="C131" t="s">
        <v>808</v>
      </c>
      <c r="D131" t="s">
        <v>741</v>
      </c>
      <c r="E131" t="s">
        <v>526</v>
      </c>
      <c r="F131" t="s">
        <v>543</v>
      </c>
      <c r="G131" s="8" t="s">
        <v>172</v>
      </c>
      <c r="H131" s="8" t="s">
        <v>170</v>
      </c>
      <c r="I131" s="8" t="s">
        <v>2709</v>
      </c>
      <c r="J131" t="s">
        <v>94</v>
      </c>
      <c r="K131" t="s">
        <v>809</v>
      </c>
      <c r="L131" s="22"/>
      <c r="M131" s="109">
        <f xml:space="preserve"> M130+(ckAwdTable[ILN]&lt;"M")</f>
        <v>107</v>
      </c>
      <c r="N131" t="s">
        <v>96</v>
      </c>
      <c r="O131" t="s">
        <v>1868</v>
      </c>
      <c r="P131" s="15" t="str">
        <f>HYPERLINK("https://www.ejacket.nsf.gov/ej/showProposal.do?ID="&amp;ckAwdTable[[#This Row],[prop_id]],"eJ")</f>
        <v>eJ</v>
      </c>
      <c r="Q131" s="8" t="s">
        <v>742</v>
      </c>
      <c r="R131" t="s">
        <v>1868</v>
      </c>
      <c r="S131" t="s">
        <v>1734</v>
      </c>
      <c r="T131" t="s">
        <v>2486</v>
      </c>
      <c r="U131" s="8" t="s">
        <v>339</v>
      </c>
      <c r="V131" t="s">
        <v>340</v>
      </c>
      <c r="W131" s="113" t="str">
        <f>HYPERLINK("mailto:"&amp; ckAwdTable[[#This Row],[email]]&amp;"&amp;subject=Your NSF Proposal:  "&amp;ckAwdTable[[#This Row],[prop_id]], ckAwdTable[[#This Row],[email]])</f>
        <v>jugal@illinois.edu</v>
      </c>
      <c r="X131" s="30">
        <v>43146</v>
      </c>
      <c r="Y131">
        <v>24</v>
      </c>
      <c r="AA131" s="21" t="s">
        <v>13</v>
      </c>
      <c r="AB131" s="21" t="s">
        <v>424</v>
      </c>
      <c r="AC131"/>
      <c r="AD131" s="21" t="s">
        <v>13</v>
      </c>
      <c r="AE131" s="21" t="s">
        <v>2710</v>
      </c>
      <c r="AF131" s="124">
        <v>175000</v>
      </c>
      <c r="AG131" s="21">
        <v>0</v>
      </c>
      <c r="AH131" s="1">
        <v>175000</v>
      </c>
      <c r="AI131" s="1"/>
      <c r="AJ131" s="1">
        <v>4000</v>
      </c>
      <c r="AM131" s="21">
        <v>4</v>
      </c>
      <c r="AN131" s="21"/>
      <c r="AO131" s="21"/>
      <c r="AP131" s="21"/>
      <c r="AQ131" s="21"/>
      <c r="AR131" s="8" t="s">
        <v>173</v>
      </c>
      <c r="AS131" s="21" t="s">
        <v>1989</v>
      </c>
      <c r="AT131" s="21" t="str">
        <f>IFERROR(IF(FIND("?",ckAwdTable[abst_narr_txt]),SummarizeQuestMarks(ckAwdTable[abst_narr_txt]),""),"")</f>
        <v/>
      </c>
      <c r="AU131" s="21"/>
      <c r="AV131" t="s">
        <v>2487</v>
      </c>
      <c r="AW131" t="b">
        <f>AND(ckAwdTable[[#This Row],[ILN]]&gt;"M", SUBSTITUTE(ckAwdTable[[#This Row],[prop_titl_txt]]," ","")&lt;&gt;SUBSTITUTE(AV130," ",""))</f>
        <v>0</v>
      </c>
      <c r="AX131" s="8" t="s">
        <v>2488</v>
      </c>
    </row>
    <row r="132" spans="2:50">
      <c r="B132" s="30">
        <v>42956.439583333333</v>
      </c>
      <c r="C132" t="s">
        <v>808</v>
      </c>
      <c r="D132" t="s">
        <v>2348</v>
      </c>
      <c r="E132" t="s">
        <v>903</v>
      </c>
      <c r="F132" t="s">
        <v>1877</v>
      </c>
      <c r="G132" s="8" t="s">
        <v>172</v>
      </c>
      <c r="H132" s="8" t="s">
        <v>170</v>
      </c>
      <c r="I132" s="8" t="s">
        <v>2709</v>
      </c>
      <c r="J132" t="s">
        <v>94</v>
      </c>
      <c r="K132" t="s">
        <v>2468</v>
      </c>
      <c r="L132" s="22">
        <v>43070.440868055557</v>
      </c>
      <c r="M132" s="109">
        <f xml:space="preserve"> M131+(ckAwdTable[ILN]&lt;"M")</f>
        <v>108</v>
      </c>
      <c r="N132" t="s">
        <v>96</v>
      </c>
      <c r="O132" t="s">
        <v>1874</v>
      </c>
      <c r="P132" s="15" t="str">
        <f>HYPERLINK("https://www.ejacket.nsf.gov/ej/showProposal.do?ID="&amp;ckAwdTable[[#This Row],[prop_id]],"eJ")</f>
        <v>eJ</v>
      </c>
      <c r="Q132" s="8" t="s">
        <v>2351</v>
      </c>
      <c r="R132" t="s">
        <v>1874</v>
      </c>
      <c r="S132" t="s">
        <v>1875</v>
      </c>
      <c r="T132" t="s">
        <v>2489</v>
      </c>
      <c r="U132" s="8" t="s">
        <v>2127</v>
      </c>
      <c r="V132" t="s">
        <v>2107</v>
      </c>
      <c r="W132" s="113" t="str">
        <f>HYPERLINK("mailto:"&amp; ckAwdTable[[#This Row],[email]]&amp;"&amp;subject=Your NSF Proposal:  "&amp;ckAwdTable[[#This Row],[prop_id]], ckAwdTable[[#This Row],[email]])</f>
        <v>feifang@cmu.edu</v>
      </c>
      <c r="X132" s="30">
        <v>43101</v>
      </c>
      <c r="Y132">
        <v>24</v>
      </c>
      <c r="AA132" s="21" t="s">
        <v>13</v>
      </c>
      <c r="AB132" s="21" t="s">
        <v>424</v>
      </c>
      <c r="AC132"/>
      <c r="AD132" s="21" t="s">
        <v>13</v>
      </c>
      <c r="AE132" s="21" t="s">
        <v>2710</v>
      </c>
      <c r="AF132" s="124">
        <v>175000</v>
      </c>
      <c r="AG132" s="21">
        <v>0</v>
      </c>
      <c r="AH132" s="1">
        <v>175000</v>
      </c>
      <c r="AI132" s="1"/>
      <c r="AJ132" s="1">
        <v>7798</v>
      </c>
      <c r="AM132" s="21">
        <v>2</v>
      </c>
      <c r="AN132" s="21"/>
      <c r="AO132" s="21"/>
      <c r="AP132" s="21"/>
      <c r="AQ132" s="21"/>
      <c r="AR132" s="8" t="s">
        <v>2353</v>
      </c>
      <c r="AS132" s="21" t="s">
        <v>1989</v>
      </c>
      <c r="AT132" s="21" t="str">
        <f>IFERROR(IF(FIND("?",ckAwdTable[abst_narr_txt]),SummarizeQuestMarks(ckAwdTable[abst_narr_txt]),""),"")</f>
        <v/>
      </c>
      <c r="AU132" s="21"/>
      <c r="AV132" t="s">
        <v>2491</v>
      </c>
      <c r="AW132" t="b">
        <f>AND(ckAwdTable[[#This Row],[ILN]]&gt;"M", SUBSTITUTE(ckAwdTable[[#This Row],[prop_titl_txt]]," ","")&lt;&gt;SUBSTITUTE(AV131," ",""))</f>
        <v>0</v>
      </c>
      <c r="AX132" s="8" t="s">
        <v>2492</v>
      </c>
    </row>
    <row r="133" spans="2:50">
      <c r="B133" s="30">
        <v>42956.472222222219</v>
      </c>
      <c r="C133" t="s">
        <v>808</v>
      </c>
      <c r="D133" t="s">
        <v>741</v>
      </c>
      <c r="E133" t="s">
        <v>526</v>
      </c>
      <c r="F133" t="s">
        <v>540</v>
      </c>
      <c r="G133" s="8" t="s">
        <v>172</v>
      </c>
      <c r="H133" s="8" t="s">
        <v>170</v>
      </c>
      <c r="I133" s="8" t="s">
        <v>2709</v>
      </c>
      <c r="J133" t="s">
        <v>94</v>
      </c>
      <c r="K133" t="s">
        <v>809</v>
      </c>
      <c r="L133" s="22"/>
      <c r="M133" s="109">
        <f xml:space="preserve"> M132+(ckAwdTable[ILN]&lt;"M")</f>
        <v>109</v>
      </c>
      <c r="N133" t="s">
        <v>96</v>
      </c>
      <c r="O133" t="s">
        <v>703</v>
      </c>
      <c r="P133" s="15" t="str">
        <f>HYPERLINK("https://www.ejacket.nsf.gov/ej/showProposal.do?ID="&amp;ckAwdTable[[#This Row],[prop_id]],"eJ")</f>
        <v>eJ</v>
      </c>
      <c r="Q133" s="8" t="s">
        <v>742</v>
      </c>
      <c r="R133" t="s">
        <v>703</v>
      </c>
      <c r="S133" t="s">
        <v>704</v>
      </c>
      <c r="T133" t="s">
        <v>811</v>
      </c>
      <c r="U133" s="8" t="s">
        <v>812</v>
      </c>
      <c r="V133" t="s">
        <v>347</v>
      </c>
      <c r="W133" s="113" t="str">
        <f>HYPERLINK("mailto:"&amp; ckAwdTable[[#This Row],[email]]&amp;"&amp;subject=Your NSF Proposal:  "&amp;ckAwdTable[[#This Row],[prop_id]], ckAwdTable[[#This Row],[email]])</f>
        <v>hcharkhgard@usf.edu</v>
      </c>
      <c r="X133" s="30">
        <v>43221</v>
      </c>
      <c r="Y133">
        <v>24</v>
      </c>
      <c r="AA133" s="21" t="s">
        <v>13</v>
      </c>
      <c r="AB133" s="21" t="s">
        <v>424</v>
      </c>
      <c r="AC133"/>
      <c r="AD133" s="21" t="s">
        <v>13</v>
      </c>
      <c r="AF133" s="124">
        <v>172682</v>
      </c>
      <c r="AG133" s="21">
        <v>0</v>
      </c>
      <c r="AH133" s="1">
        <v>172682</v>
      </c>
      <c r="AI133" s="1"/>
      <c r="AJ133" s="1"/>
      <c r="AM133" s="21">
        <v>4</v>
      </c>
      <c r="AN133" s="21"/>
      <c r="AO133" s="21"/>
      <c r="AP133" s="21"/>
      <c r="AQ133" s="21"/>
      <c r="AR133" s="8" t="s">
        <v>173</v>
      </c>
      <c r="AS133" s="21" t="s">
        <v>1989</v>
      </c>
      <c r="AT133" s="21" t="str">
        <f>IFERROR(IF(FIND("?",ckAwdTable[abst_narr_txt]),SummarizeQuestMarks(ckAwdTable[abst_narr_txt]),""),"")</f>
        <v/>
      </c>
      <c r="AU133" s="21"/>
      <c r="AV133" t="s">
        <v>814</v>
      </c>
      <c r="AW133" t="b">
        <f>AND(ckAwdTable[[#This Row],[ILN]]&gt;"M", SUBSTITUTE(ckAwdTable[[#This Row],[prop_titl_txt]]," ","")&lt;&gt;SUBSTITUTE(AV132," ",""))</f>
        <v>0</v>
      </c>
      <c r="AX133" s="8" t="s">
        <v>815</v>
      </c>
    </row>
    <row r="134" spans="2:50">
      <c r="B134" s="30">
        <v>42956.581944444442</v>
      </c>
      <c r="C134" t="s">
        <v>808</v>
      </c>
      <c r="D134" t="s">
        <v>741</v>
      </c>
      <c r="E134" t="s">
        <v>526</v>
      </c>
      <c r="F134" t="s">
        <v>1530</v>
      </c>
      <c r="G134" s="8" t="s">
        <v>172</v>
      </c>
      <c r="H134" s="8" t="s">
        <v>170</v>
      </c>
      <c r="I134" s="8" t="s">
        <v>2709</v>
      </c>
      <c r="J134" t="s">
        <v>94</v>
      </c>
      <c r="K134" t="s">
        <v>809</v>
      </c>
      <c r="L134" s="22"/>
      <c r="M134" s="109">
        <f xml:space="preserve"> M133+(ckAwdTable[ILN]&lt;"M")</f>
        <v>110</v>
      </c>
      <c r="N134" t="s">
        <v>96</v>
      </c>
      <c r="O134" t="s">
        <v>1895</v>
      </c>
      <c r="P134" s="15" t="str">
        <f>HYPERLINK("https://www.ejacket.nsf.gov/ej/showProposal.do?ID="&amp;ckAwdTable[[#This Row],[prop_id]],"eJ")</f>
        <v>eJ</v>
      </c>
      <c r="Q134" s="8" t="s">
        <v>742</v>
      </c>
      <c r="R134" t="s">
        <v>1895</v>
      </c>
      <c r="S134" t="s">
        <v>1896</v>
      </c>
      <c r="T134" t="s">
        <v>2493</v>
      </c>
      <c r="U134" s="8" t="s">
        <v>2494</v>
      </c>
      <c r="V134" t="s">
        <v>258</v>
      </c>
      <c r="W134" s="113" t="str">
        <f>HYPERLINK("mailto:"&amp; ckAwdTable[[#This Row],[email]]&amp;"&amp;subject=Your NSF Proposal:  "&amp;ckAwdTable[[#This Row],[prop_id]], ckAwdTable[[#This Row],[email]])</f>
        <v>Mayank.Goswami@qc.cuny.edu</v>
      </c>
      <c r="X134" s="30">
        <v>43344</v>
      </c>
      <c r="Y134">
        <v>24</v>
      </c>
      <c r="AA134" s="21" t="s">
        <v>13</v>
      </c>
      <c r="AB134" s="21" t="s">
        <v>424</v>
      </c>
      <c r="AC134"/>
      <c r="AD134" s="21" t="s">
        <v>13</v>
      </c>
      <c r="AE134" s="21" t="s">
        <v>2731</v>
      </c>
      <c r="AF134" s="124">
        <v>175000</v>
      </c>
      <c r="AG134" s="21">
        <v>0</v>
      </c>
      <c r="AH134" s="1">
        <v>175000</v>
      </c>
      <c r="AI134" s="1"/>
      <c r="AJ134" s="1">
        <v>10000</v>
      </c>
      <c r="AM134" s="21">
        <v>2</v>
      </c>
      <c r="AN134" s="21"/>
      <c r="AO134" s="21"/>
      <c r="AP134" s="21"/>
      <c r="AQ134" s="21"/>
      <c r="AR134" s="8" t="s">
        <v>173</v>
      </c>
      <c r="AS134" s="21" t="s">
        <v>1989</v>
      </c>
      <c r="AT134" s="21" t="str">
        <f>IFERROR(IF(FIND("?",ckAwdTable[abst_narr_txt]),SummarizeQuestMarks(ckAwdTable[abst_narr_txt]),""),"")</f>
        <v/>
      </c>
      <c r="AU134" s="21" t="s">
        <v>1899</v>
      </c>
      <c r="AV134" t="s">
        <v>2496</v>
      </c>
      <c r="AW134" t="b">
        <f>AND(ckAwdTable[[#This Row],[ILN]]&gt;"M", SUBSTITUTE(ckAwdTable[[#This Row],[prop_titl_txt]]," ","")&lt;&gt;SUBSTITUTE(AV133," ",""))</f>
        <v>0</v>
      </c>
      <c r="AX134" s="8" t="s">
        <v>2497</v>
      </c>
    </row>
    <row r="135" spans="2:50">
      <c r="B135" s="30">
        <v>42956.588888888888</v>
      </c>
      <c r="C135" t="s">
        <v>808</v>
      </c>
      <c r="D135" t="s">
        <v>2348</v>
      </c>
      <c r="E135" t="s">
        <v>903</v>
      </c>
      <c r="F135" t="s">
        <v>1488</v>
      </c>
      <c r="G135" s="8" t="s">
        <v>172</v>
      </c>
      <c r="H135" s="8" t="s">
        <v>170</v>
      </c>
      <c r="I135" s="8" t="s">
        <v>2709</v>
      </c>
      <c r="J135" t="s">
        <v>94</v>
      </c>
      <c r="K135" t="s">
        <v>2468</v>
      </c>
      <c r="L135" s="22"/>
      <c r="M135" s="109">
        <f xml:space="preserve"> M134+(ckAwdTable[ILN]&lt;"M")</f>
        <v>111</v>
      </c>
      <c r="N135" t="s">
        <v>96</v>
      </c>
      <c r="O135" t="s">
        <v>1903</v>
      </c>
      <c r="P135" s="15" t="str">
        <f>HYPERLINK("https://www.ejacket.nsf.gov/ej/showProposal.do?ID="&amp;ckAwdTable[[#This Row],[prop_id]],"eJ")</f>
        <v>eJ</v>
      </c>
      <c r="Q135" s="8" t="s">
        <v>2351</v>
      </c>
      <c r="R135" t="s">
        <v>1903</v>
      </c>
      <c r="S135" t="s">
        <v>1904</v>
      </c>
      <c r="T135" t="s">
        <v>2498</v>
      </c>
      <c r="U135" s="8" t="s">
        <v>2133</v>
      </c>
      <c r="V135" t="s">
        <v>2131</v>
      </c>
      <c r="W135" s="113" t="str">
        <f>HYPERLINK("mailto:"&amp; ckAwdTable[[#This Row],[email]]&amp;"&amp;subject=Your NSF Proposal:  "&amp;ckAwdTable[[#This Row],[prop_id]], ckAwdTable[[#This Row],[email]])</f>
        <v>tzhao80@gatech.edu</v>
      </c>
      <c r="X135" s="30">
        <v>43235</v>
      </c>
      <c r="Y135">
        <v>24</v>
      </c>
      <c r="AA135" s="21" t="s">
        <v>13</v>
      </c>
      <c r="AB135" s="21" t="s">
        <v>424</v>
      </c>
      <c r="AC135"/>
      <c r="AD135" s="21" t="s">
        <v>13</v>
      </c>
      <c r="AF135" s="124">
        <v>175000</v>
      </c>
      <c r="AG135" s="21">
        <v>0</v>
      </c>
      <c r="AH135" s="1">
        <v>175000</v>
      </c>
      <c r="AI135" s="1"/>
      <c r="AJ135" s="1"/>
      <c r="AM135" s="21">
        <v>6</v>
      </c>
      <c r="AN135" s="21"/>
      <c r="AO135" s="21"/>
      <c r="AP135" s="21"/>
      <c r="AQ135" s="21"/>
      <c r="AR135" s="8" t="s">
        <v>173</v>
      </c>
      <c r="AS135" s="21" t="s">
        <v>1989</v>
      </c>
      <c r="AT135" s="21" t="str">
        <f>IFERROR(IF(FIND("?",ckAwdTable[abst_narr_txt]),SummarizeQuestMarks(ckAwdTable[abst_narr_txt]),""),"")</f>
        <v/>
      </c>
      <c r="AU135" s="21"/>
      <c r="AV135" t="s">
        <v>2500</v>
      </c>
      <c r="AW135" t="b">
        <f>AND(ckAwdTable[[#This Row],[ILN]]&gt;"M", SUBSTITUTE(ckAwdTable[[#This Row],[prop_titl_txt]]," ","")&lt;&gt;SUBSTITUTE(AV134," ",""))</f>
        <v>0</v>
      </c>
      <c r="AX135" s="8" t="s">
        <v>2501</v>
      </c>
    </row>
    <row r="136" spans="2:50">
      <c r="B136" s="30">
        <v>42956.621527777781</v>
      </c>
      <c r="C136" t="s">
        <v>808</v>
      </c>
      <c r="D136" t="s">
        <v>741</v>
      </c>
      <c r="E136" t="s">
        <v>526</v>
      </c>
      <c r="F136" t="s">
        <v>543</v>
      </c>
      <c r="G136" s="8" t="s">
        <v>172</v>
      </c>
      <c r="H136" s="8" t="s">
        <v>170</v>
      </c>
      <c r="I136" s="8" t="s">
        <v>2709</v>
      </c>
      <c r="J136" t="s">
        <v>94</v>
      </c>
      <c r="K136" t="s">
        <v>809</v>
      </c>
      <c r="L136" s="22"/>
      <c r="M136" s="109">
        <f xml:space="preserve"> M135+(ckAwdTable[ILN]&lt;"M")</f>
        <v>112</v>
      </c>
      <c r="N136" t="s">
        <v>96</v>
      </c>
      <c r="O136" t="s">
        <v>710</v>
      </c>
      <c r="P136" s="15" t="str">
        <f>HYPERLINK("https://www.ejacket.nsf.gov/ej/showProposal.do?ID="&amp;ckAwdTable[[#This Row],[prop_id]],"eJ")</f>
        <v>eJ</v>
      </c>
      <c r="Q136" s="8" t="s">
        <v>742</v>
      </c>
      <c r="R136" t="s">
        <v>710</v>
      </c>
      <c r="S136" t="s">
        <v>348</v>
      </c>
      <c r="T136" t="s">
        <v>817</v>
      </c>
      <c r="U136" s="8" t="s">
        <v>339</v>
      </c>
      <c r="V136" t="s">
        <v>340</v>
      </c>
      <c r="W136" s="113" t="str">
        <f>HYPERLINK("mailto:"&amp; ckAwdTable[[#This Row],[email]]&amp;"&amp;subject=Your NSF Proposal:  "&amp;ckAwdTable[[#This Row],[prop_id]], ckAwdTable[[#This Row],[email]])</f>
        <v>ruoyus@illinois.edu</v>
      </c>
      <c r="X136" s="30">
        <v>43282</v>
      </c>
      <c r="Y136">
        <v>24</v>
      </c>
      <c r="AA136" s="21" t="s">
        <v>13</v>
      </c>
      <c r="AB136" s="21" t="s">
        <v>424</v>
      </c>
      <c r="AC136"/>
      <c r="AD136" s="21" t="s">
        <v>13</v>
      </c>
      <c r="AE136" s="21" t="s">
        <v>2710</v>
      </c>
      <c r="AF136" s="124">
        <v>175000</v>
      </c>
      <c r="AG136" s="21">
        <v>0</v>
      </c>
      <c r="AH136" s="1">
        <v>175000</v>
      </c>
      <c r="AI136" s="1"/>
      <c r="AJ136" s="1">
        <v>4000</v>
      </c>
      <c r="AM136" s="21">
        <v>4</v>
      </c>
      <c r="AN136" s="21"/>
      <c r="AO136" s="21"/>
      <c r="AP136" s="21"/>
      <c r="AQ136" s="21"/>
      <c r="AR136" s="8" t="s">
        <v>173</v>
      </c>
      <c r="AS136" s="21" t="s">
        <v>1989</v>
      </c>
      <c r="AT136" s="21" t="str">
        <f>IFERROR(IF(FIND("?",ckAwdTable[abst_narr_txt]),SummarizeQuestMarks(ckAwdTable[abst_narr_txt]),""),"")</f>
        <v/>
      </c>
      <c r="AU136" s="21"/>
      <c r="AV136" t="s">
        <v>819</v>
      </c>
      <c r="AW136" t="b">
        <f>AND(ckAwdTable[[#This Row],[ILN]]&gt;"M", SUBSTITUTE(ckAwdTable[[#This Row],[prop_titl_txt]]," ","")&lt;&gt;SUBSTITUTE(AV135," ",""))</f>
        <v>0</v>
      </c>
      <c r="AX136" s="8" t="s">
        <v>820</v>
      </c>
    </row>
    <row r="137" spans="2:50">
      <c r="B137" s="30">
        <v>42956.647916666669</v>
      </c>
      <c r="C137" t="s">
        <v>808</v>
      </c>
      <c r="D137" t="s">
        <v>741</v>
      </c>
      <c r="E137" t="s">
        <v>526</v>
      </c>
      <c r="F137" t="s">
        <v>540</v>
      </c>
      <c r="G137" s="8" t="s">
        <v>172</v>
      </c>
      <c r="H137" s="8" t="s">
        <v>170</v>
      </c>
      <c r="I137" s="8" t="s">
        <v>2709</v>
      </c>
      <c r="J137" t="s">
        <v>94</v>
      </c>
      <c r="K137" t="s">
        <v>809</v>
      </c>
      <c r="L137" s="22"/>
      <c r="M137" s="109">
        <f xml:space="preserve"> M136+(ckAwdTable[ILN]&lt;"M")</f>
        <v>113</v>
      </c>
      <c r="N137" t="s">
        <v>96</v>
      </c>
      <c r="O137" t="s">
        <v>716</v>
      </c>
      <c r="P137" s="15" t="str">
        <f>HYPERLINK("https://www.ejacket.nsf.gov/ej/showProposal.do?ID="&amp;ckAwdTable[[#This Row],[prop_id]],"eJ")</f>
        <v>eJ</v>
      </c>
      <c r="Q137" s="8" t="s">
        <v>742</v>
      </c>
      <c r="R137" t="s">
        <v>716</v>
      </c>
      <c r="S137" t="s">
        <v>717</v>
      </c>
      <c r="T137" t="s">
        <v>822</v>
      </c>
      <c r="U137" s="8" t="s">
        <v>823</v>
      </c>
      <c r="V137" t="s">
        <v>118</v>
      </c>
      <c r="W137" s="113" t="str">
        <f>HYPERLINK("mailto:"&amp; ckAwdTable[[#This Row],[email]]&amp;"&amp;subject=Your NSF Proposal:  "&amp;ckAwdTable[[#This Row],[prop_id]], ckAwdTable[[#This Row],[email]])</f>
        <v>osan@okstate.edu</v>
      </c>
      <c r="X137" s="30">
        <v>43252</v>
      </c>
      <c r="Y137">
        <v>24</v>
      </c>
      <c r="AA137" s="21" t="s">
        <v>13</v>
      </c>
      <c r="AB137" s="21" t="s">
        <v>424</v>
      </c>
      <c r="AC137"/>
      <c r="AD137" s="21" t="s">
        <v>13</v>
      </c>
      <c r="AF137" s="124">
        <v>170144</v>
      </c>
      <c r="AG137" s="21">
        <v>0</v>
      </c>
      <c r="AH137" s="1">
        <v>170144</v>
      </c>
      <c r="AI137" s="1"/>
      <c r="AJ137" s="1"/>
      <c r="AM137" s="21">
        <v>4</v>
      </c>
      <c r="AN137" s="21"/>
      <c r="AO137" s="21"/>
      <c r="AP137" s="21"/>
      <c r="AQ137" s="21"/>
      <c r="AR137" s="8" t="s">
        <v>173</v>
      </c>
      <c r="AS137" s="21" t="s">
        <v>1989</v>
      </c>
      <c r="AT137" s="21" t="str">
        <f>IFERROR(IF(FIND("?",ckAwdTable[abst_narr_txt]),SummarizeQuestMarks(ckAwdTable[abst_narr_txt]),""),"")</f>
        <v/>
      </c>
      <c r="AU137" s="21"/>
      <c r="AV137" t="s">
        <v>825</v>
      </c>
      <c r="AW137" t="b">
        <f>AND(ckAwdTable[[#This Row],[ILN]]&gt;"M", SUBSTITUTE(ckAwdTable[[#This Row],[prop_titl_txt]]," ","")&lt;&gt;SUBSTITUTE(AV136," ",""))</f>
        <v>0</v>
      </c>
      <c r="AX137" s="8" t="s">
        <v>826</v>
      </c>
    </row>
    <row r="138" spans="2:50">
      <c r="B138" s="30">
        <v>42956.648611111108</v>
      </c>
      <c r="C138" t="s">
        <v>808</v>
      </c>
      <c r="D138" t="s">
        <v>741</v>
      </c>
      <c r="E138" t="s">
        <v>526</v>
      </c>
      <c r="F138" t="s">
        <v>543</v>
      </c>
      <c r="G138" s="8" t="s">
        <v>172</v>
      </c>
      <c r="H138" s="8" t="s">
        <v>170</v>
      </c>
      <c r="I138" s="8" t="s">
        <v>2709</v>
      </c>
      <c r="J138" t="s">
        <v>94</v>
      </c>
      <c r="K138" t="s">
        <v>809</v>
      </c>
      <c r="L138" s="22"/>
      <c r="M138" s="109">
        <f xml:space="preserve"> M137+(ckAwdTable[ILN]&lt;"M")</f>
        <v>114</v>
      </c>
      <c r="N138" t="s">
        <v>96</v>
      </c>
      <c r="O138" t="s">
        <v>1931</v>
      </c>
      <c r="P138" s="15" t="str">
        <f>HYPERLINK("https://www.ejacket.nsf.gov/ej/showProposal.do?ID="&amp;ckAwdTable[[#This Row],[prop_id]],"eJ")</f>
        <v>eJ</v>
      </c>
      <c r="Q138" s="8" t="s">
        <v>742</v>
      </c>
      <c r="R138" t="s">
        <v>1931</v>
      </c>
      <c r="S138" t="s">
        <v>1932</v>
      </c>
      <c r="T138" t="s">
        <v>811</v>
      </c>
      <c r="U138" s="8" t="s">
        <v>2502</v>
      </c>
      <c r="V138" t="s">
        <v>258</v>
      </c>
      <c r="W138" s="113" t="str">
        <f>HYPERLINK("mailto:"&amp; ckAwdTable[[#This Row],[email]]&amp;"&amp;subject=Your NSF Proposal:  "&amp;ckAwdTable[[#This Row],[prop_id]], ckAwdTable[[#This Row],[email]])</f>
        <v>hhvcs@rit.edu</v>
      </c>
      <c r="X138" s="30">
        <v>43344</v>
      </c>
      <c r="Y138">
        <v>24</v>
      </c>
      <c r="AA138" s="21" t="s">
        <v>13</v>
      </c>
      <c r="AB138" s="21" t="s">
        <v>424</v>
      </c>
      <c r="AC138"/>
      <c r="AD138" s="21" t="s">
        <v>13</v>
      </c>
      <c r="AE138" s="21" t="s">
        <v>2732</v>
      </c>
      <c r="AF138" s="124">
        <v>173878</v>
      </c>
      <c r="AG138" s="21">
        <v>0</v>
      </c>
      <c r="AH138" s="1">
        <v>173878</v>
      </c>
      <c r="AI138" s="1"/>
      <c r="AJ138" s="1">
        <v>3000</v>
      </c>
      <c r="AM138" s="21">
        <v>2</v>
      </c>
      <c r="AN138" s="21"/>
      <c r="AO138" s="21"/>
      <c r="AP138" s="21"/>
      <c r="AQ138" s="21"/>
      <c r="AR138" s="8" t="s">
        <v>173</v>
      </c>
      <c r="AS138" s="21" t="s">
        <v>1989</v>
      </c>
      <c r="AT138" s="21" t="str">
        <f>IFERROR(IF(FIND("?",ckAwdTable[abst_narr_txt]),SummarizeQuestMarks(ckAwdTable[abst_narr_txt]),""),"")</f>
        <v/>
      </c>
      <c r="AU138" s="21"/>
      <c r="AV138" t="s">
        <v>2503</v>
      </c>
      <c r="AW138" t="b">
        <f>AND(ckAwdTable[[#This Row],[ILN]]&gt;"M", SUBSTITUTE(ckAwdTable[[#This Row],[prop_titl_txt]]," ","")&lt;&gt;SUBSTITUTE(AV137," ",""))</f>
        <v>0</v>
      </c>
      <c r="AX138" s="8" t="s">
        <v>2504</v>
      </c>
    </row>
    <row r="139" spans="2:50">
      <c r="B139" s="30">
        <v>42956.678472222222</v>
      </c>
      <c r="C139" t="s">
        <v>808</v>
      </c>
      <c r="D139" t="s">
        <v>741</v>
      </c>
      <c r="E139" t="s">
        <v>526</v>
      </c>
      <c r="F139" t="s">
        <v>543</v>
      </c>
      <c r="G139" s="8" t="s">
        <v>172</v>
      </c>
      <c r="H139" s="8" t="s">
        <v>170</v>
      </c>
      <c r="I139" s="8" t="s">
        <v>2709</v>
      </c>
      <c r="J139" t="s">
        <v>94</v>
      </c>
      <c r="K139" t="s">
        <v>809</v>
      </c>
      <c r="L139" s="22"/>
      <c r="M139" s="109">
        <f xml:space="preserve"> M138+(ckAwdTable[ILN]&lt;"M")</f>
        <v>115</v>
      </c>
      <c r="N139" t="s">
        <v>96</v>
      </c>
      <c r="O139" t="s">
        <v>1938</v>
      </c>
      <c r="P139" s="15" t="str">
        <f>HYPERLINK("https://www.ejacket.nsf.gov/ej/showProposal.do?ID="&amp;ckAwdTable[[#This Row],[prop_id]],"eJ")</f>
        <v>eJ</v>
      </c>
      <c r="Q139" s="8" t="s">
        <v>742</v>
      </c>
      <c r="R139" t="s">
        <v>1938</v>
      </c>
      <c r="S139" t="s">
        <v>1939</v>
      </c>
      <c r="T139" t="s">
        <v>1969</v>
      </c>
      <c r="U139" s="8" t="s">
        <v>339</v>
      </c>
      <c r="V139" t="s">
        <v>340</v>
      </c>
      <c r="W139" s="113" t="str">
        <f>HYPERLINK("mailto:"&amp; ckAwdTable[[#This Row],[email]]&amp;"&amp;subject=Your NSF Proposal:  "&amp;ckAwdTable[[#This Row],[prop_id]], ckAwdTable[[#This Row],[email]])</f>
        <v>miforbes@illinois.edu</v>
      </c>
      <c r="X139" s="30">
        <v>43101</v>
      </c>
      <c r="Y139">
        <v>24</v>
      </c>
      <c r="AA139" s="21" t="s">
        <v>13</v>
      </c>
      <c r="AB139" s="21" t="s">
        <v>424</v>
      </c>
      <c r="AC139"/>
      <c r="AD139" s="21" t="s">
        <v>13</v>
      </c>
      <c r="AE139" s="21" t="s">
        <v>2731</v>
      </c>
      <c r="AF139" s="124">
        <v>175000</v>
      </c>
      <c r="AG139" s="21">
        <v>0</v>
      </c>
      <c r="AH139" s="1">
        <v>175000</v>
      </c>
      <c r="AI139" s="1"/>
      <c r="AJ139" s="1">
        <v>8737</v>
      </c>
      <c r="AM139" s="21">
        <v>2</v>
      </c>
      <c r="AN139" s="21"/>
      <c r="AO139" s="21"/>
      <c r="AP139" s="21"/>
      <c r="AQ139" s="21"/>
      <c r="AR139" s="8" t="s">
        <v>173</v>
      </c>
      <c r="AS139" s="21" t="s">
        <v>1989</v>
      </c>
      <c r="AT139" s="21" t="str">
        <f>IFERROR(IF(FIND("?",ckAwdTable[abst_narr_txt]),SummarizeQuestMarks(ckAwdTable[abst_narr_txt]),""),"")</f>
        <v/>
      </c>
      <c r="AU139" s="21"/>
      <c r="AV139" t="s">
        <v>2506</v>
      </c>
      <c r="AW139" t="b">
        <f>AND(ckAwdTable[[#This Row],[ILN]]&gt;"M", SUBSTITUTE(ckAwdTable[[#This Row],[prop_titl_txt]]," ","")&lt;&gt;SUBSTITUTE(AV138," ",""))</f>
        <v>0</v>
      </c>
      <c r="AX139" s="8" t="s">
        <v>2507</v>
      </c>
    </row>
    <row r="140" spans="2:50">
      <c r="B140" s="30">
        <v>42956.695833333331</v>
      </c>
      <c r="C140" t="s">
        <v>808</v>
      </c>
      <c r="D140" t="s">
        <v>741</v>
      </c>
      <c r="E140" t="s">
        <v>526</v>
      </c>
      <c r="F140" t="s">
        <v>543</v>
      </c>
      <c r="G140" s="8" t="s">
        <v>172</v>
      </c>
      <c r="H140" s="8" t="s">
        <v>170</v>
      </c>
      <c r="I140" s="8" t="s">
        <v>2709</v>
      </c>
      <c r="J140" t="s">
        <v>94</v>
      </c>
      <c r="K140" t="s">
        <v>809</v>
      </c>
      <c r="L140" s="22"/>
      <c r="M140" s="109">
        <f xml:space="preserve"> M139+(ckAwdTable[ILN]&lt;"M")</f>
        <v>116</v>
      </c>
      <c r="N140" t="s">
        <v>96</v>
      </c>
      <c r="O140" t="s">
        <v>1945</v>
      </c>
      <c r="P140" s="15" t="str">
        <f>HYPERLINK("https://www.ejacket.nsf.gov/ej/showProposal.do?ID="&amp;ckAwdTable[[#This Row],[prop_id]],"eJ")</f>
        <v>eJ</v>
      </c>
      <c r="Q140" s="8" t="s">
        <v>742</v>
      </c>
      <c r="R140" t="s">
        <v>1945</v>
      </c>
      <c r="S140" t="s">
        <v>1946</v>
      </c>
      <c r="T140" t="s">
        <v>2508</v>
      </c>
      <c r="U140" s="8" t="s">
        <v>2509</v>
      </c>
      <c r="V140" t="s">
        <v>2329</v>
      </c>
      <c r="W140" s="113" t="str">
        <f>HYPERLINK("mailto:"&amp; ckAwdTable[[#This Row],[email]]&amp;"&amp;subject=Your NSF Proposal:  "&amp;ckAwdTable[[#This Row],[prop_id]], ckAwdTable[[#This Row],[email]])</f>
        <v>adres@asu.edu</v>
      </c>
      <c r="X140" s="30">
        <v>43328</v>
      </c>
      <c r="Y140">
        <v>24</v>
      </c>
      <c r="AA140" s="21" t="s">
        <v>13</v>
      </c>
      <c r="AB140" s="21" t="s">
        <v>424</v>
      </c>
      <c r="AC140"/>
      <c r="AD140" s="21" t="s">
        <v>13</v>
      </c>
      <c r="AE140" s="21" t="s">
        <v>2731</v>
      </c>
      <c r="AF140" s="124">
        <v>175000</v>
      </c>
      <c r="AG140" s="21">
        <v>0</v>
      </c>
      <c r="AH140" s="1">
        <v>175000</v>
      </c>
      <c r="AI140" s="1"/>
      <c r="AJ140" s="1">
        <v>6581</v>
      </c>
      <c r="AM140" s="21">
        <v>3</v>
      </c>
      <c r="AN140" s="21"/>
      <c r="AO140" s="21"/>
      <c r="AP140" s="21"/>
      <c r="AQ140" s="21"/>
      <c r="AR140" s="8" t="s">
        <v>173</v>
      </c>
      <c r="AS140" s="21" t="s">
        <v>1989</v>
      </c>
      <c r="AT140" s="21" t="str">
        <f>IFERROR(IF(FIND("?",ckAwdTable[abst_narr_txt]),SummarizeQuestMarks(ckAwdTable[abst_narr_txt]),""),"")</f>
        <v/>
      </c>
      <c r="AU140" s="21"/>
      <c r="AV140" t="s">
        <v>2511</v>
      </c>
      <c r="AW140" t="b">
        <f>AND(ckAwdTable[[#This Row],[ILN]]&gt;"M", SUBSTITUTE(ckAwdTable[[#This Row],[prop_titl_txt]]," ","")&lt;&gt;SUBSTITUTE(AV139," ",""))</f>
        <v>0</v>
      </c>
      <c r="AX140" s="8" t="s">
        <v>2512</v>
      </c>
    </row>
    <row r="141" spans="2:50">
      <c r="B141" s="30">
        <v>42956.697222222225</v>
      </c>
      <c r="C141" t="s">
        <v>808</v>
      </c>
      <c r="D141" t="s">
        <v>741</v>
      </c>
      <c r="E141" t="s">
        <v>526</v>
      </c>
      <c r="F141" t="s">
        <v>540</v>
      </c>
      <c r="G141" s="8" t="s">
        <v>172</v>
      </c>
      <c r="H141" s="8" t="s">
        <v>170</v>
      </c>
      <c r="I141" s="8" t="s">
        <v>2709</v>
      </c>
      <c r="J141" t="s">
        <v>94</v>
      </c>
      <c r="K141" t="s">
        <v>809</v>
      </c>
      <c r="L141" s="22">
        <v>43076.608877314815</v>
      </c>
      <c r="M141" s="109">
        <f xml:space="preserve"> M140+(ckAwdTable[ILN]&lt;"M")</f>
        <v>117</v>
      </c>
      <c r="N141" t="s">
        <v>96</v>
      </c>
      <c r="O141" t="s">
        <v>723</v>
      </c>
      <c r="P141" s="15" t="str">
        <f>HYPERLINK("https://www.ejacket.nsf.gov/ej/showProposal.do?ID="&amp;ckAwdTable[[#This Row],[prop_id]],"eJ")</f>
        <v>eJ</v>
      </c>
      <c r="Q141" s="8" t="s">
        <v>742</v>
      </c>
      <c r="R141" t="s">
        <v>723</v>
      </c>
      <c r="S141" t="s">
        <v>724</v>
      </c>
      <c r="T141" t="s">
        <v>827</v>
      </c>
      <c r="U141" s="8" t="s">
        <v>828</v>
      </c>
      <c r="V141" t="s">
        <v>345</v>
      </c>
      <c r="W141" s="113" t="str">
        <f>HYPERLINK("mailto:"&amp; ckAwdTable[[#This Row],[email]]&amp;"&amp;subject=Your NSF Proposal:  "&amp;ckAwdTable[[#This Row],[prop_id]], ckAwdTable[[#This Row],[email]])</f>
        <v>shima.hm@tamu.edu</v>
      </c>
      <c r="X141" s="30">
        <v>43252</v>
      </c>
      <c r="Y141">
        <v>24</v>
      </c>
      <c r="AA141" s="21" t="s">
        <v>13</v>
      </c>
      <c r="AB141" s="21" t="s">
        <v>424</v>
      </c>
      <c r="AC141"/>
      <c r="AD141" s="21" t="s">
        <v>13</v>
      </c>
      <c r="AF141" s="124">
        <v>175000</v>
      </c>
      <c r="AG141" s="21">
        <v>0</v>
      </c>
      <c r="AH141" s="1">
        <v>175000</v>
      </c>
      <c r="AI141" s="1"/>
      <c r="AJ141" s="1"/>
      <c r="AM141" s="21">
        <v>4</v>
      </c>
      <c r="AN141" s="21"/>
      <c r="AO141" s="21"/>
      <c r="AP141" s="21"/>
      <c r="AQ141" s="21"/>
      <c r="AR141" s="8" t="s">
        <v>173</v>
      </c>
      <c r="AS141" s="21" t="s">
        <v>1989</v>
      </c>
      <c r="AT141" s="21" t="str">
        <f>IFERROR(IF(FIND("?",ckAwdTable[abst_narr_txt]),SummarizeQuestMarks(ckAwdTable[abst_narr_txt]),""),"")</f>
        <v/>
      </c>
      <c r="AU141" s="21"/>
      <c r="AV141" t="s">
        <v>830</v>
      </c>
      <c r="AW141" t="b">
        <f>AND(ckAwdTable[[#This Row],[ILN]]&gt;"M", SUBSTITUTE(ckAwdTable[[#This Row],[prop_titl_txt]]," ","")&lt;&gt;SUBSTITUTE(AV140," ",""))</f>
        <v>0</v>
      </c>
      <c r="AX141" s="8" t="s">
        <v>831</v>
      </c>
    </row>
    <row r="142" spans="2:50">
      <c r="B142" s="30">
        <v>42956.697916666664</v>
      </c>
      <c r="C142" t="s">
        <v>808</v>
      </c>
      <c r="D142" t="s">
        <v>741</v>
      </c>
      <c r="E142" t="s">
        <v>526</v>
      </c>
      <c r="F142" t="s">
        <v>543</v>
      </c>
      <c r="G142" s="8" t="s">
        <v>172</v>
      </c>
      <c r="H142" s="8" t="s">
        <v>170</v>
      </c>
      <c r="I142" s="8" t="s">
        <v>2709</v>
      </c>
      <c r="J142" t="s">
        <v>94</v>
      </c>
      <c r="K142" t="s">
        <v>809</v>
      </c>
      <c r="L142" s="22"/>
      <c r="M142" s="109">
        <f xml:space="preserve"> M141+(ckAwdTable[ILN]&lt;"M")</f>
        <v>118</v>
      </c>
      <c r="N142" t="s">
        <v>96</v>
      </c>
      <c r="O142" t="s">
        <v>1953</v>
      </c>
      <c r="P142" s="15" t="str">
        <f>HYPERLINK("https://www.ejacket.nsf.gov/ej/showProposal.do?ID="&amp;ckAwdTable[[#This Row],[prop_id]],"eJ")</f>
        <v>eJ</v>
      </c>
      <c r="Q142" s="8" t="s">
        <v>742</v>
      </c>
      <c r="R142" t="s">
        <v>1953</v>
      </c>
      <c r="S142" t="s">
        <v>1781</v>
      </c>
      <c r="T142" t="s">
        <v>2446</v>
      </c>
      <c r="U142" s="8" t="s">
        <v>2447</v>
      </c>
      <c r="V142" t="s">
        <v>2107</v>
      </c>
      <c r="W142" s="113" t="str">
        <f>HYPERLINK("mailto:"&amp; ckAwdTable[[#This Row],[email]]&amp;"&amp;subject=Your NSF Proposal:  "&amp;ckAwdTable[[#This Row],[prop_id]], ckAwdTable[[#This Row],[email]])</f>
        <v>gkatz@drexel.edu</v>
      </c>
      <c r="X142" s="30">
        <v>43132</v>
      </c>
      <c r="Y142">
        <v>24</v>
      </c>
      <c r="AA142" s="21" t="s">
        <v>13</v>
      </c>
      <c r="AB142" s="21" t="s">
        <v>424</v>
      </c>
      <c r="AC142"/>
      <c r="AD142" s="21" t="s">
        <v>13</v>
      </c>
      <c r="AE142" s="21" t="s">
        <v>2710</v>
      </c>
      <c r="AF142" s="124">
        <v>174930</v>
      </c>
      <c r="AG142" s="21">
        <v>0</v>
      </c>
      <c r="AH142" s="1">
        <v>174930</v>
      </c>
      <c r="AI142" s="1"/>
      <c r="AJ142" s="1">
        <v>9000</v>
      </c>
      <c r="AM142" s="21">
        <v>2</v>
      </c>
      <c r="AN142" s="21"/>
      <c r="AO142" s="21"/>
      <c r="AP142" s="21"/>
      <c r="AQ142" s="21"/>
      <c r="AR142" s="8" t="s">
        <v>173</v>
      </c>
      <c r="AS142" s="21" t="s">
        <v>1989</v>
      </c>
      <c r="AT142" s="21" t="str">
        <f>IFERROR(IF(FIND("?",ckAwdTable[abst_narr_txt]),SummarizeQuestMarks(ckAwdTable[abst_narr_txt]),""),"")</f>
        <v/>
      </c>
      <c r="AU142" s="21"/>
      <c r="AV142" t="s">
        <v>2513</v>
      </c>
      <c r="AW142" t="b">
        <f>AND(ckAwdTable[[#This Row],[ILN]]&gt;"M", SUBSTITUTE(ckAwdTable[[#This Row],[prop_titl_txt]]," ","")&lt;&gt;SUBSTITUTE(AV141," ",""))</f>
        <v>0</v>
      </c>
      <c r="AX142" s="8" t="s">
        <v>2449</v>
      </c>
    </row>
    <row r="143" spans="2:50">
      <c r="B143" s="30">
        <v>42956.717361111114</v>
      </c>
      <c r="C143" t="s">
        <v>808</v>
      </c>
      <c r="D143" t="s">
        <v>741</v>
      </c>
      <c r="E143" t="s">
        <v>526</v>
      </c>
      <c r="F143" t="s">
        <v>540</v>
      </c>
      <c r="G143" s="8" t="s">
        <v>172</v>
      </c>
      <c r="H143" s="8" t="s">
        <v>170</v>
      </c>
      <c r="I143" s="8" t="s">
        <v>2709</v>
      </c>
      <c r="J143" t="s">
        <v>94</v>
      </c>
      <c r="K143" t="s">
        <v>809</v>
      </c>
      <c r="L143" s="22">
        <v>43076.608923611115</v>
      </c>
      <c r="M143" s="109">
        <f xml:space="preserve"> M142+(ckAwdTable[ILN]&lt;"M")</f>
        <v>119</v>
      </c>
      <c r="N143" t="s">
        <v>96</v>
      </c>
      <c r="O143" t="s">
        <v>734</v>
      </c>
      <c r="P143" s="15" t="str">
        <f>HYPERLINK("https://www.ejacket.nsf.gov/ej/showProposal.do?ID="&amp;ckAwdTable[[#This Row],[prop_id]],"eJ")</f>
        <v>eJ</v>
      </c>
      <c r="Q143" s="8" t="s">
        <v>742</v>
      </c>
      <c r="R143" t="s">
        <v>734</v>
      </c>
      <c r="S143" t="s">
        <v>735</v>
      </c>
      <c r="T143" t="s">
        <v>832</v>
      </c>
      <c r="U143" s="8" t="s">
        <v>833</v>
      </c>
      <c r="V143" t="s">
        <v>345</v>
      </c>
      <c r="W143" s="113" t="str">
        <f>HYPERLINK("mailto:"&amp; ckAwdTable[[#This Row],[email]]&amp;"&amp;subject=Your NSF Proposal:  "&amp;ckAwdTable[[#This Row],[prop_id]], ckAwdTable[[#This Row],[email]])</f>
        <v>harsha@smu.edu</v>
      </c>
      <c r="X143" s="30">
        <v>43101</v>
      </c>
      <c r="Y143">
        <v>24</v>
      </c>
      <c r="AA143" s="21" t="s">
        <v>13</v>
      </c>
      <c r="AB143" s="21" t="s">
        <v>424</v>
      </c>
      <c r="AC143"/>
      <c r="AD143" s="21" t="s">
        <v>13</v>
      </c>
      <c r="AF143" s="124">
        <v>175000</v>
      </c>
      <c r="AG143" s="21">
        <v>0</v>
      </c>
      <c r="AH143" s="1">
        <v>175000</v>
      </c>
      <c r="AI143" s="1"/>
      <c r="AJ143" s="1"/>
      <c r="AM143" s="21">
        <v>4</v>
      </c>
      <c r="AN143" s="21"/>
      <c r="AO143" s="21"/>
      <c r="AP143" s="21"/>
      <c r="AQ143" s="21"/>
      <c r="AR143" s="8" t="s">
        <v>173</v>
      </c>
      <c r="AS143" s="21" t="s">
        <v>1989</v>
      </c>
      <c r="AT143" s="21" t="str">
        <f>IFERROR(IF(FIND("?",ckAwdTable[abst_narr_txt]),SummarizeQuestMarks(ckAwdTable[abst_narr_txt]),""),"")</f>
        <v/>
      </c>
      <c r="AU143" s="21"/>
      <c r="AV143" t="s">
        <v>835</v>
      </c>
      <c r="AW143" t="b">
        <f>AND(ckAwdTable[[#This Row],[ILN]]&gt;"M", SUBSTITUTE(ckAwdTable[[#This Row],[prop_titl_txt]]," ","")&lt;&gt;SUBSTITUTE(AV142," ",""))</f>
        <v>0</v>
      </c>
      <c r="AX143" s="8" t="s">
        <v>836</v>
      </c>
    </row>
    <row r="144" spans="2:50">
      <c r="B144" s="30">
        <v>42956.746527777781</v>
      </c>
      <c r="C144" t="s">
        <v>808</v>
      </c>
      <c r="D144" t="s">
        <v>741</v>
      </c>
      <c r="E144" t="s">
        <v>526</v>
      </c>
      <c r="F144" t="s">
        <v>1530</v>
      </c>
      <c r="G144" s="8" t="s">
        <v>172</v>
      </c>
      <c r="H144" s="8" t="s">
        <v>170</v>
      </c>
      <c r="I144" s="8" t="s">
        <v>2709</v>
      </c>
      <c r="J144" t="s">
        <v>94</v>
      </c>
      <c r="K144" t="s">
        <v>809</v>
      </c>
      <c r="L144" s="22"/>
      <c r="M144" s="109">
        <f xml:space="preserve"> M143+(ckAwdTable[ILN]&lt;"M")</f>
        <v>120</v>
      </c>
      <c r="N144" t="s">
        <v>96</v>
      </c>
      <c r="O144" t="s">
        <v>1960</v>
      </c>
      <c r="P144" s="15" t="str">
        <f>HYPERLINK("https://www.ejacket.nsf.gov/ej/showProposal.do?ID="&amp;ckAwdTable[[#This Row],[prop_id]],"eJ")</f>
        <v>eJ</v>
      </c>
      <c r="Q144" s="8" t="s">
        <v>742</v>
      </c>
      <c r="R144" t="s">
        <v>1960</v>
      </c>
      <c r="S144" t="s">
        <v>627</v>
      </c>
      <c r="T144" t="s">
        <v>932</v>
      </c>
      <c r="U144" s="8" t="s">
        <v>2514</v>
      </c>
      <c r="V144" t="s">
        <v>345</v>
      </c>
      <c r="W144" s="113" t="str">
        <f>HYPERLINK("mailto:"&amp; ckAwdTable[[#This Row],[email]]&amp;"&amp;subject=Your NSF Proposal:  "&amp;ckAwdTable[[#This Row],[prop_id]], ckAwdTable[[#This Row],[email]])</f>
        <v>lchen49@central.uh.edu</v>
      </c>
      <c r="X144" s="30">
        <v>43252</v>
      </c>
      <c r="Y144">
        <v>24</v>
      </c>
      <c r="AA144" s="21" t="s">
        <v>13</v>
      </c>
      <c r="AB144" s="21" t="s">
        <v>424</v>
      </c>
      <c r="AC144"/>
      <c r="AD144" s="21" t="s">
        <v>13</v>
      </c>
      <c r="AE144" s="21" t="s">
        <v>2710</v>
      </c>
      <c r="AF144" s="124">
        <v>148477</v>
      </c>
      <c r="AG144" s="21">
        <v>0</v>
      </c>
      <c r="AH144" s="1">
        <v>148477</v>
      </c>
      <c r="AI144" s="1"/>
      <c r="AJ144" s="1">
        <v>7000</v>
      </c>
      <c r="AM144" s="21">
        <v>3</v>
      </c>
      <c r="AN144" s="21"/>
      <c r="AO144" s="21"/>
      <c r="AP144" s="21"/>
      <c r="AQ144" s="21"/>
      <c r="AR144" s="8" t="s">
        <v>173</v>
      </c>
      <c r="AS144" s="21" t="s">
        <v>1989</v>
      </c>
      <c r="AT144" s="21" t="str">
        <f>IFERROR(IF(FIND("?",ckAwdTable[abst_narr_txt]),SummarizeQuestMarks(ckAwdTable[abst_narr_txt]),""),"")</f>
        <v/>
      </c>
      <c r="AU144" s="21"/>
      <c r="AV144" t="s">
        <v>2515</v>
      </c>
      <c r="AW144" t="b">
        <f>AND(ckAwdTable[[#This Row],[ILN]]&gt;"M", SUBSTITUTE(ckAwdTable[[#This Row],[prop_titl_txt]]," ","")&lt;&gt;SUBSTITUTE(AV143," ",""))</f>
        <v>0</v>
      </c>
      <c r="AX144" s="8" t="s">
        <v>2516</v>
      </c>
    </row>
  </sheetData>
  <conditionalFormatting sqref="A2:AX144">
    <cfRule type="expression" dxfId="3" priority="4">
      <formula>MOD($M2,2)</formula>
    </cfRule>
  </conditionalFormatting>
  <conditionalFormatting sqref="C2:K144">
    <cfRule type="expression" dxfId="2" priority="3">
      <formula>AND($N2="N",C2&lt;&gt;C1)</formula>
    </cfRule>
  </conditionalFormatting>
  <conditionalFormatting sqref="X2:AE144">
    <cfRule type="expression" dxfId="1" priority="2">
      <formula>AND($N2="N",TRIM(X2)&lt;&gt;TRIM(X1))</formula>
    </cfRule>
  </conditionalFormatting>
  <conditionalFormatting sqref="AV2:AV144">
    <cfRule type="expression" dxfId="0"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641"/>
  <sheetViews>
    <sheetView topLeftCell="T3" workbookViewId="0">
      <selection activeCell="AD5" sqref="AD5"/>
    </sheetView>
  </sheetViews>
  <sheetFormatPr defaultRowHeight="14.6"/>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c r="A1" s="6" t="s">
        <v>130</v>
      </c>
      <c r="Q1" s="3"/>
    </row>
    <row r="2" spans="1:30" s="99" customFormat="1">
      <c r="A2" s="98"/>
      <c r="F2" s="100" t="s">
        <v>15</v>
      </c>
      <c r="G2" s="100"/>
      <c r="I2" s="101" t="s">
        <v>481</v>
      </c>
      <c r="K2" s="12" t="str">
        <f>LOWER(I641)</f>
        <v>rshah</v>
      </c>
      <c r="L2" s="101" t="s">
        <v>14</v>
      </c>
      <c r="M2" s="103">
        <f ca="1">YEAR(NOW())+(MONTH(NOW())&gt;9)-2000</f>
        <v>18</v>
      </c>
      <c r="Q2" s="100" t="s">
        <v>128</v>
      </c>
      <c r="R2" s="100"/>
      <c r="S2" s="102"/>
      <c r="U2" s="99" t="s">
        <v>129</v>
      </c>
      <c r="Y2" s="99" t="s">
        <v>482</v>
      </c>
    </row>
    <row r="3" spans="1:30" ht="33" customHeight="1">
      <c r="A3" s="6" t="s">
        <v>0</v>
      </c>
      <c r="B3" t="s">
        <v>88</v>
      </c>
      <c r="C3" t="s">
        <v>396</v>
      </c>
      <c r="D3" t="s">
        <v>102</v>
      </c>
      <c r="E3" s="30" t="s">
        <v>7</v>
      </c>
      <c r="F3" t="s">
        <v>8</v>
      </c>
      <c r="G3" t="s">
        <v>5</v>
      </c>
      <c r="H3" t="s">
        <v>4</v>
      </c>
      <c r="I3" t="s">
        <v>91</v>
      </c>
      <c r="J3" t="s">
        <v>421</v>
      </c>
      <c r="K3" t="s">
        <v>9</v>
      </c>
      <c r="L3" t="s">
        <v>1</v>
      </c>
      <c r="M3" s="21" t="s">
        <v>2</v>
      </c>
      <c r="N3" t="s">
        <v>10</v>
      </c>
      <c r="O3" s="14" t="s">
        <v>460</v>
      </c>
      <c r="P3" t="s">
        <v>11</v>
      </c>
      <c r="Q3" t="s">
        <v>398</v>
      </c>
      <c r="R3" t="s">
        <v>399</v>
      </c>
      <c r="S3" s="13" t="s">
        <v>400</v>
      </c>
      <c r="T3" t="s">
        <v>401</v>
      </c>
      <c r="U3" t="s">
        <v>402</v>
      </c>
      <c r="V3" s="6" t="s">
        <v>403</v>
      </c>
      <c r="W3" t="s">
        <v>404</v>
      </c>
      <c r="X3" t="s">
        <v>405</v>
      </c>
      <c r="Y3" t="s">
        <v>6</v>
      </c>
      <c r="Z3" t="s">
        <v>406</v>
      </c>
      <c r="AA3" t="s">
        <v>407</v>
      </c>
      <c r="AB3" t="s">
        <v>408</v>
      </c>
      <c r="AC3" t="s">
        <v>500</v>
      </c>
      <c r="AD3" t="s">
        <v>12</v>
      </c>
    </row>
    <row r="4" spans="1:30">
      <c r="A4" s="10" t="s">
        <v>917</v>
      </c>
      <c r="B4" s="77" t="s">
        <v>96</v>
      </c>
      <c r="C4" s="77">
        <f>C3+(BudgetsTable[[#This Row],[lead]]&lt;&gt;K3)</f>
        <v>11</v>
      </c>
      <c r="D4" s="77">
        <f>D3*(BudgetsTable[[#This Row],[lead]]=K3)+(BudgetsTable[[#This Row],[prop_id]]&lt;&gt;A3)</f>
        <v>1</v>
      </c>
      <c r="E4" s="78">
        <v>42807.46597222222</v>
      </c>
      <c r="F4" s="79" t="s">
        <v>1965</v>
      </c>
      <c r="G4" s="79" t="s">
        <v>741</v>
      </c>
      <c r="H4" s="79" t="s">
        <v>901</v>
      </c>
      <c r="I4" s="77" t="s">
        <v>543</v>
      </c>
      <c r="J4" s="77" t="s">
        <v>1973</v>
      </c>
      <c r="K4" s="79" t="s">
        <v>917</v>
      </c>
      <c r="L4" s="7" t="str">
        <f>IF(BudgetsTable[[#This Row],[pi_last_name]]=" ","",HYPERLINK("https://www.ejacket.nsf.gov/ej/showProposal.do?Continue=Y&amp;ID="&amp;BudgetsTable[[#This Row],[prop_id]],BudgetsTable[[#This Row],[prop_id]]))</f>
        <v>1740547</v>
      </c>
      <c r="M4" s="15" t="str">
        <f>IF(BudgetsTable[[#This Row],[pi_last_name]]=" ","",HYPERLINK("https://www.ejacket.nsf.gov/ej/processReviewAnalysis.do?dispatch=add&amp;uniqId="&amp;BudgetsTable[[#This Row],[prop_id]]&amp;PO_id,"&gt;ra"))</f>
        <v>&gt;ra</v>
      </c>
      <c r="N4" s="79" t="s">
        <v>918</v>
      </c>
      <c r="O4" s="7" t="str">
        <f>IF(BudgetsTable[[#This Row],[pi_last_name]]=" ","",HYPERLINK("mailto:"&amp;BudgetsTable[[#This Row],[pi_email]]&amp;"&amp;subject=Your NSF Proposal:  "&amp;BudgetsTable[[#This Row],[prop_id]],BudgetsTable[[#This Row],[pi_email]]))</f>
        <v>mshub@ccny.cuny.edu</v>
      </c>
      <c r="P4" s="79" t="s">
        <v>1970</v>
      </c>
      <c r="Q4" s="79"/>
      <c r="R4" s="79"/>
      <c r="S4" s="80"/>
      <c r="T4" s="80"/>
      <c r="U4" s="80"/>
      <c r="V4" s="81"/>
      <c r="W4" s="79">
        <v>0</v>
      </c>
      <c r="X4" s="79"/>
      <c r="Y4" s="11" t="str">
        <f ca="1">IF(ISBLANK(BudgetsTable[[#This Row],[budg_seq_yr]]),"FY"&amp;fiscalyear,"FY"&amp;fiscalyear-1+BudgetsTable[[#This Row],[budg_seq_yr]])</f>
        <v>FY18</v>
      </c>
      <c r="Z4" s="80">
        <v>1485814</v>
      </c>
      <c r="AA4" s="79" t="s">
        <v>741</v>
      </c>
      <c r="AB4" s="79" t="s">
        <v>901</v>
      </c>
      <c r="AC4" s="104" t="s">
        <v>94</v>
      </c>
      <c r="AD4" s="79" t="s">
        <v>1968</v>
      </c>
    </row>
    <row r="5" spans="1:30">
      <c r="A5" s="10" t="s">
        <v>917</v>
      </c>
      <c r="B5" s="77" t="s">
        <v>96</v>
      </c>
      <c r="C5" s="77">
        <f>C4+(BudgetsTable[[#This Row],[lead]]&lt;&gt;K4)</f>
        <v>11</v>
      </c>
      <c r="D5" s="77">
        <f>D4*(BudgetsTable[[#This Row],[lead]]=K4)+(BudgetsTable[[#This Row],[prop_id]]&lt;&gt;A4)</f>
        <v>1</v>
      </c>
      <c r="E5" s="78">
        <v>42807.46597222222</v>
      </c>
      <c r="F5" s="79" t="s">
        <v>1965</v>
      </c>
      <c r="G5" s="79" t="s">
        <v>741</v>
      </c>
      <c r="H5" s="79" t="s">
        <v>901</v>
      </c>
      <c r="I5" s="77" t="s">
        <v>543</v>
      </c>
      <c r="J5" s="77" t="s">
        <v>13</v>
      </c>
      <c r="K5" s="79" t="s">
        <v>917</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5</v>
      </c>
      <c r="R5" s="79">
        <v>0.65</v>
      </c>
      <c r="S5" s="80">
        <v>65000</v>
      </c>
      <c r="T5" s="80">
        <v>0</v>
      </c>
      <c r="U5" s="80">
        <v>0</v>
      </c>
      <c r="V5" s="81">
        <v>491333</v>
      </c>
      <c r="W5" s="79">
        <v>0</v>
      </c>
      <c r="X5" s="79">
        <v>1</v>
      </c>
      <c r="Y5" s="11" t="str">
        <f ca="1">IF(ISBLANK(BudgetsTable[[#This Row],[budg_seq_yr]]),"FY"&amp;fiscalyear,"FY"&amp;fiscalyear-1+BudgetsTable[[#This Row],[budg_seq_yr]])</f>
        <v>FY18</v>
      </c>
      <c r="Z5" s="80">
        <v>491333</v>
      </c>
      <c r="AA5" s="79" t="s">
        <v>741</v>
      </c>
      <c r="AB5" s="79" t="s">
        <v>901</v>
      </c>
      <c r="AC5" s="77" t="s">
        <v>94</v>
      </c>
      <c r="AD5" s="79" t="s">
        <v>1968</v>
      </c>
    </row>
    <row r="6" spans="1:30">
      <c r="A6" s="125" t="s">
        <v>917</v>
      </c>
      <c r="B6" s="126" t="s">
        <v>96</v>
      </c>
      <c r="C6" s="126">
        <f>C5+(BudgetsTable[[#This Row],[lead]]&lt;&gt;K5)</f>
        <v>11</v>
      </c>
      <c r="D6" s="126">
        <f>D5*(BudgetsTable[[#This Row],[lead]]=K5)+(BudgetsTable[[#This Row],[prop_id]]&lt;&gt;A5)</f>
        <v>1</v>
      </c>
      <c r="E6" s="127">
        <v>42807.46597222222</v>
      </c>
      <c r="F6" s="128" t="s">
        <v>1965</v>
      </c>
      <c r="G6" s="128" t="s">
        <v>741</v>
      </c>
      <c r="H6" s="128" t="s">
        <v>901</v>
      </c>
      <c r="I6" s="126" t="s">
        <v>543</v>
      </c>
      <c r="J6" s="126" t="s">
        <v>13</v>
      </c>
      <c r="K6" s="128" t="s">
        <v>917</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128" t="s">
        <v>13</v>
      </c>
      <c r="O6" s="7" t="str">
        <f>IF(BudgetsTable[[#This Row],[pi_last_name]]=" ","",HYPERLINK("mailto:"&amp;BudgetsTable[[#This Row],[pi_email]]&amp;"&amp;subject=Your NSF Proposal:  "&amp;BudgetsTable[[#This Row],[prop_id]],BudgetsTable[[#This Row],[pi_email]]))</f>
        <v/>
      </c>
      <c r="P6" s="128" t="s">
        <v>13</v>
      </c>
      <c r="Q6" s="128">
        <v>5</v>
      </c>
      <c r="R6" s="128">
        <v>0.65</v>
      </c>
      <c r="S6" s="129">
        <v>66300</v>
      </c>
      <c r="T6" s="129">
        <v>0</v>
      </c>
      <c r="U6" s="129">
        <v>0</v>
      </c>
      <c r="V6" s="130">
        <v>495404</v>
      </c>
      <c r="W6" s="128">
        <v>0</v>
      </c>
      <c r="X6" s="128">
        <v>2</v>
      </c>
      <c r="Y6" s="131" t="str">
        <f ca="1">IF(ISBLANK(BudgetsTable[[#This Row],[budg_seq_yr]]),"FY"&amp;fiscalyear,"FY"&amp;fiscalyear-1+BudgetsTable[[#This Row],[budg_seq_yr]])</f>
        <v>FY19</v>
      </c>
      <c r="Z6" s="129">
        <v>495404</v>
      </c>
      <c r="AA6" s="128" t="s">
        <v>741</v>
      </c>
      <c r="AB6" s="128" t="s">
        <v>901</v>
      </c>
      <c r="AC6" s="126" t="s">
        <v>94</v>
      </c>
      <c r="AD6" s="128" t="s">
        <v>1968</v>
      </c>
    </row>
    <row r="7" spans="1:30">
      <c r="A7" s="125" t="s">
        <v>917</v>
      </c>
      <c r="B7" s="126" t="s">
        <v>96</v>
      </c>
      <c r="C7" s="126">
        <f>C6+(BudgetsTable[[#This Row],[lead]]&lt;&gt;K6)</f>
        <v>11</v>
      </c>
      <c r="D7" s="126">
        <f>D6*(BudgetsTable[[#This Row],[lead]]=K6)+(BudgetsTable[[#This Row],[prop_id]]&lt;&gt;A6)</f>
        <v>1</v>
      </c>
      <c r="E7" s="127">
        <v>42807.46597222222</v>
      </c>
      <c r="F7" s="128" t="s">
        <v>1965</v>
      </c>
      <c r="G7" s="128" t="s">
        <v>741</v>
      </c>
      <c r="H7" s="128" t="s">
        <v>901</v>
      </c>
      <c r="I7" s="126" t="s">
        <v>543</v>
      </c>
      <c r="J7" s="126" t="s">
        <v>13</v>
      </c>
      <c r="K7" s="128" t="s">
        <v>917</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128" t="s">
        <v>13</v>
      </c>
      <c r="O7" s="7" t="str">
        <f>IF(BudgetsTable[[#This Row],[pi_last_name]]=" ","",HYPERLINK("mailto:"&amp;BudgetsTable[[#This Row],[pi_email]]&amp;"&amp;subject=Your NSF Proposal:  "&amp;BudgetsTable[[#This Row],[prop_id]],BudgetsTable[[#This Row],[pi_email]]))</f>
        <v/>
      </c>
      <c r="P7" s="128" t="s">
        <v>13</v>
      </c>
      <c r="Q7" s="128">
        <v>5</v>
      </c>
      <c r="R7" s="128">
        <v>0.65</v>
      </c>
      <c r="S7" s="129">
        <v>67626</v>
      </c>
      <c r="T7" s="129">
        <v>0</v>
      </c>
      <c r="U7" s="129">
        <v>0</v>
      </c>
      <c r="V7" s="130">
        <v>499077</v>
      </c>
      <c r="W7" s="128">
        <v>0</v>
      </c>
      <c r="X7" s="128">
        <v>3</v>
      </c>
      <c r="Y7" s="131" t="str">
        <f ca="1">IF(ISBLANK(BudgetsTable[[#This Row],[budg_seq_yr]]),"FY"&amp;fiscalyear,"FY"&amp;fiscalyear-1+BudgetsTable[[#This Row],[budg_seq_yr]])</f>
        <v>FY20</v>
      </c>
      <c r="Z7" s="129">
        <v>499077</v>
      </c>
      <c r="AA7" s="128" t="s">
        <v>741</v>
      </c>
      <c r="AB7" s="128" t="s">
        <v>901</v>
      </c>
      <c r="AC7" s="126" t="s">
        <v>94</v>
      </c>
      <c r="AD7" s="128" t="s">
        <v>1968</v>
      </c>
    </row>
    <row r="8" spans="1:30">
      <c r="A8" s="125" t="s">
        <v>940</v>
      </c>
      <c r="B8" s="126" t="s">
        <v>96</v>
      </c>
      <c r="C8" s="126">
        <f>C7+(BudgetsTable[[#This Row],[lead]]&lt;&gt;K7)</f>
        <v>12</v>
      </c>
      <c r="D8" s="126">
        <f>D7*(BudgetsTable[[#This Row],[lead]]=K7)+(BudgetsTable[[#This Row],[prop_id]]&lt;&gt;A7)</f>
        <v>1</v>
      </c>
      <c r="E8" s="127">
        <v>42807.490277777775</v>
      </c>
      <c r="F8" s="128" t="s">
        <v>1965</v>
      </c>
      <c r="G8" s="128" t="s">
        <v>741</v>
      </c>
      <c r="H8" s="128" t="s">
        <v>901</v>
      </c>
      <c r="I8" s="126" t="s">
        <v>948</v>
      </c>
      <c r="J8" s="126" t="s">
        <v>1979</v>
      </c>
      <c r="K8" s="128" t="s">
        <v>940</v>
      </c>
      <c r="L8" s="7" t="str">
        <f>IF(BudgetsTable[[#This Row],[pi_last_name]]=" ","",HYPERLINK("https://www.ejacket.nsf.gov/ej/showProposal.do?Continue=Y&amp;ID="&amp;BudgetsTable[[#This Row],[prop_id]],BudgetsTable[[#This Row],[prop_id]]))</f>
        <v>1740551</v>
      </c>
      <c r="M8" s="15" t="str">
        <f>IF(BudgetsTable[[#This Row],[pi_last_name]]=" ","",HYPERLINK("https://www.ejacket.nsf.gov/ej/processReviewAnalysis.do?dispatch=add&amp;uniqId="&amp;BudgetsTable[[#This Row],[prop_id]]&amp;PO_id,"&gt;ra"))</f>
        <v>&gt;ra</v>
      </c>
      <c r="N8" s="128" t="s">
        <v>941</v>
      </c>
      <c r="O8" s="7" t="str">
        <f>IF(BudgetsTable[[#This Row],[pi_last_name]]=" ","",HYPERLINK("mailto:"&amp;BudgetsTable[[#This Row],[pi_email]]&amp;"&amp;subject=Your NSF Proposal:  "&amp;BudgetsTable[[#This Row],[prop_id]],BudgetsTable[[#This Row],[pi_email]]))</f>
        <v>sham@cs.washington.edu</v>
      </c>
      <c r="P8" s="128" t="s">
        <v>244</v>
      </c>
      <c r="Q8" s="128"/>
      <c r="R8" s="128"/>
      <c r="S8" s="129"/>
      <c r="T8" s="129"/>
      <c r="U8" s="129"/>
      <c r="V8" s="130"/>
      <c r="W8" s="128">
        <v>0</v>
      </c>
      <c r="X8" s="128"/>
      <c r="Y8" s="131" t="str">
        <f ca="1">IF(ISBLANK(BudgetsTable[[#This Row],[budg_seq_yr]]),"FY"&amp;fiscalyear,"FY"&amp;fiscalyear-1+BudgetsTable[[#This Row],[budg_seq_yr]])</f>
        <v>FY18</v>
      </c>
      <c r="Z8" s="129">
        <v>1500000</v>
      </c>
      <c r="AA8" s="128" t="s">
        <v>741</v>
      </c>
      <c r="AB8" s="128" t="s">
        <v>901</v>
      </c>
      <c r="AC8" s="126" t="s">
        <v>94</v>
      </c>
      <c r="AD8" s="128" t="s">
        <v>1968</v>
      </c>
    </row>
    <row r="9" spans="1:30">
      <c r="A9" s="125" t="s">
        <v>940</v>
      </c>
      <c r="B9" s="126" t="s">
        <v>96</v>
      </c>
      <c r="C9" s="126">
        <f>C8+(BudgetsTable[[#This Row],[lead]]&lt;&gt;K8)</f>
        <v>12</v>
      </c>
      <c r="D9" s="126">
        <f>D8*(BudgetsTable[[#This Row],[lead]]=K8)+(BudgetsTable[[#This Row],[prop_id]]&lt;&gt;A8)</f>
        <v>1</v>
      </c>
      <c r="E9" s="127">
        <v>42807.490277777775</v>
      </c>
      <c r="F9" s="128" t="s">
        <v>1965</v>
      </c>
      <c r="G9" s="128" t="s">
        <v>741</v>
      </c>
      <c r="H9" s="128" t="s">
        <v>901</v>
      </c>
      <c r="I9" s="126" t="s">
        <v>948</v>
      </c>
      <c r="J9" s="126" t="s">
        <v>13</v>
      </c>
      <c r="K9" s="128" t="s">
        <v>940</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128" t="s">
        <v>13</v>
      </c>
      <c r="O9" s="7" t="str">
        <f>IF(BudgetsTable[[#This Row],[pi_last_name]]=" ","",HYPERLINK("mailto:"&amp;BudgetsTable[[#This Row],[pi_email]]&amp;"&amp;subject=Your NSF Proposal:  "&amp;BudgetsTable[[#This Row],[prop_id]],BudgetsTable[[#This Row],[pi_email]]))</f>
        <v/>
      </c>
      <c r="P9" s="128" t="s">
        <v>13</v>
      </c>
      <c r="Q9" s="128">
        <v>5</v>
      </c>
      <c r="R9" s="128">
        <v>2.25</v>
      </c>
      <c r="S9" s="129">
        <v>144000</v>
      </c>
      <c r="T9" s="129">
        <v>22000</v>
      </c>
      <c r="U9" s="129">
        <v>0</v>
      </c>
      <c r="V9" s="130">
        <v>668884</v>
      </c>
      <c r="W9" s="128">
        <v>0</v>
      </c>
      <c r="X9" s="128">
        <v>1</v>
      </c>
      <c r="Y9" s="131" t="str">
        <f ca="1">IF(ISBLANK(BudgetsTable[[#This Row],[budg_seq_yr]]),"FY"&amp;fiscalyear,"FY"&amp;fiscalyear-1+BudgetsTable[[#This Row],[budg_seq_yr]])</f>
        <v>FY18</v>
      </c>
      <c r="Z9" s="129">
        <v>668884</v>
      </c>
      <c r="AA9" s="128" t="s">
        <v>741</v>
      </c>
      <c r="AB9" s="128" t="s">
        <v>901</v>
      </c>
      <c r="AC9" s="126" t="s">
        <v>94</v>
      </c>
      <c r="AD9" s="128" t="s">
        <v>1968</v>
      </c>
    </row>
    <row r="10" spans="1:30">
      <c r="A10" s="125" t="s">
        <v>940</v>
      </c>
      <c r="B10" s="126" t="s">
        <v>96</v>
      </c>
      <c r="C10" s="126">
        <f>C9+(BudgetsTable[[#This Row],[lead]]&lt;&gt;K9)</f>
        <v>12</v>
      </c>
      <c r="D10" s="126">
        <f>D9*(BudgetsTable[[#This Row],[lead]]=K9)+(BudgetsTable[[#This Row],[prop_id]]&lt;&gt;A9)</f>
        <v>1</v>
      </c>
      <c r="E10" s="127">
        <v>42807.490277777775</v>
      </c>
      <c r="F10" s="128" t="s">
        <v>1965</v>
      </c>
      <c r="G10" s="128" t="s">
        <v>741</v>
      </c>
      <c r="H10" s="128" t="s">
        <v>901</v>
      </c>
      <c r="I10" s="126" t="s">
        <v>948</v>
      </c>
      <c r="J10" s="126" t="s">
        <v>13</v>
      </c>
      <c r="K10" s="128" t="s">
        <v>940</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128" t="s">
        <v>13</v>
      </c>
      <c r="O10" s="7" t="str">
        <f>IF(BudgetsTable[[#This Row],[pi_last_name]]=" ","",HYPERLINK("mailto:"&amp;BudgetsTable[[#This Row],[pi_email]]&amp;"&amp;subject=Your NSF Proposal:  "&amp;BudgetsTable[[#This Row],[prop_id]],BudgetsTable[[#This Row],[pi_email]]))</f>
        <v/>
      </c>
      <c r="P10" s="128" t="s">
        <v>13</v>
      </c>
      <c r="Q10" s="128">
        <v>5</v>
      </c>
      <c r="R10" s="128">
        <v>2.25</v>
      </c>
      <c r="S10" s="129">
        <v>0</v>
      </c>
      <c r="T10" s="129">
        <v>22000</v>
      </c>
      <c r="U10" s="129">
        <v>0</v>
      </c>
      <c r="V10" s="130">
        <v>404033</v>
      </c>
      <c r="W10" s="128">
        <v>0</v>
      </c>
      <c r="X10" s="128">
        <v>2</v>
      </c>
      <c r="Y10" s="131" t="str">
        <f ca="1">IF(ISBLANK(BudgetsTable[[#This Row],[budg_seq_yr]]),"FY"&amp;fiscalyear,"FY"&amp;fiscalyear-1+BudgetsTable[[#This Row],[budg_seq_yr]])</f>
        <v>FY19</v>
      </c>
      <c r="Z10" s="129">
        <v>404033</v>
      </c>
      <c r="AA10" s="128" t="s">
        <v>741</v>
      </c>
      <c r="AB10" s="128" t="s">
        <v>901</v>
      </c>
      <c r="AC10" s="126" t="s">
        <v>94</v>
      </c>
      <c r="AD10" s="128" t="s">
        <v>1968</v>
      </c>
    </row>
    <row r="11" spans="1:30">
      <c r="A11" s="125" t="s">
        <v>940</v>
      </c>
      <c r="B11" s="126" t="s">
        <v>96</v>
      </c>
      <c r="C11" s="126">
        <f>C10+(BudgetsTable[[#This Row],[lead]]&lt;&gt;K10)</f>
        <v>12</v>
      </c>
      <c r="D11" s="126">
        <f>D10*(BudgetsTable[[#This Row],[lead]]=K10)+(BudgetsTable[[#This Row],[prop_id]]&lt;&gt;A10)</f>
        <v>1</v>
      </c>
      <c r="E11" s="127">
        <v>42807.490277777775</v>
      </c>
      <c r="F11" s="128" t="s">
        <v>1965</v>
      </c>
      <c r="G11" s="128" t="s">
        <v>741</v>
      </c>
      <c r="H11" s="128" t="s">
        <v>901</v>
      </c>
      <c r="I11" s="126" t="s">
        <v>948</v>
      </c>
      <c r="J11" s="126" t="s">
        <v>13</v>
      </c>
      <c r="K11" s="128" t="s">
        <v>940</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128" t="s">
        <v>13</v>
      </c>
      <c r="O11" s="7" t="str">
        <f>IF(BudgetsTable[[#This Row],[pi_last_name]]=" ","",HYPERLINK("mailto:"&amp;BudgetsTable[[#This Row],[pi_email]]&amp;"&amp;subject=Your NSF Proposal:  "&amp;BudgetsTable[[#This Row],[prop_id]],BudgetsTable[[#This Row],[pi_email]]))</f>
        <v/>
      </c>
      <c r="P11" s="128" t="s">
        <v>13</v>
      </c>
      <c r="Q11" s="128">
        <v>5</v>
      </c>
      <c r="R11" s="128">
        <v>2.25</v>
      </c>
      <c r="S11" s="129">
        <v>0</v>
      </c>
      <c r="T11" s="129">
        <v>22000</v>
      </c>
      <c r="U11" s="129">
        <v>0</v>
      </c>
      <c r="V11" s="130">
        <v>427083</v>
      </c>
      <c r="W11" s="128">
        <v>0</v>
      </c>
      <c r="X11" s="128">
        <v>3</v>
      </c>
      <c r="Y11" s="131" t="str">
        <f ca="1">IF(ISBLANK(BudgetsTable[[#This Row],[budg_seq_yr]]),"FY"&amp;fiscalyear,"FY"&amp;fiscalyear-1+BudgetsTable[[#This Row],[budg_seq_yr]])</f>
        <v>FY20</v>
      </c>
      <c r="Z11" s="129">
        <v>427083</v>
      </c>
      <c r="AA11" s="128" t="s">
        <v>741</v>
      </c>
      <c r="AB11" s="128" t="s">
        <v>901</v>
      </c>
      <c r="AC11" s="126" t="s">
        <v>94</v>
      </c>
      <c r="AD11" s="128" t="s">
        <v>1968</v>
      </c>
    </row>
    <row r="12" spans="1:30">
      <c r="A12" s="125" t="s">
        <v>972</v>
      </c>
      <c r="B12" s="126" t="s">
        <v>1981</v>
      </c>
      <c r="C12" s="126">
        <f>C11+(BudgetsTable[[#This Row],[lead]]&lt;&gt;K11)</f>
        <v>13</v>
      </c>
      <c r="D12" s="126">
        <f>D11*(BudgetsTable[[#This Row],[lead]]=K11)+(BudgetsTable[[#This Row],[prop_id]]&lt;&gt;A11)</f>
        <v>1</v>
      </c>
      <c r="E12" s="127">
        <v>42807.553472222222</v>
      </c>
      <c r="F12" s="128" t="s">
        <v>1965</v>
      </c>
      <c r="G12" s="128" t="s">
        <v>741</v>
      </c>
      <c r="H12" s="128" t="s">
        <v>901</v>
      </c>
      <c r="I12" s="126" t="s">
        <v>540</v>
      </c>
      <c r="J12" s="126" t="s">
        <v>1986</v>
      </c>
      <c r="K12" s="128" t="s">
        <v>972</v>
      </c>
      <c r="L12" s="7" t="str">
        <f>IF(BudgetsTable[[#This Row],[pi_last_name]]=" ","",HYPERLINK("https://www.ejacket.nsf.gov/ej/showProposal.do?Continue=Y&amp;ID="&amp;BudgetsTable[[#This Row],[prop_id]],BudgetsTable[[#This Row],[prop_id]]))</f>
        <v>1740562</v>
      </c>
      <c r="M12" s="15" t="str">
        <f>IF(BudgetsTable[[#This Row],[pi_last_name]]=" ","",HYPERLINK("https://www.ejacket.nsf.gov/ej/processReviewAnalysis.do?dispatch=add&amp;uniqId="&amp;BudgetsTable[[#This Row],[prop_id]]&amp;PO_id,"&gt;ra"))</f>
        <v>&gt;ra</v>
      </c>
      <c r="N12" s="128" t="s">
        <v>973</v>
      </c>
      <c r="O12" s="7" t="str">
        <f>IF(BudgetsTable[[#This Row],[pi_last_name]]=" ","",HYPERLINK("mailto:"&amp;BudgetsTable[[#This Row],[pi_email]]&amp;"&amp;subject=Your NSF Proposal:  "&amp;BudgetsTable[[#This Row],[prop_id]],BudgetsTable[[#This Row],[pi_email]]))</f>
        <v>ccraini1@jhu.edu</v>
      </c>
      <c r="P12" s="128" t="s">
        <v>1983</v>
      </c>
      <c r="Q12" s="128"/>
      <c r="R12" s="128"/>
      <c r="S12" s="129"/>
      <c r="T12" s="129"/>
      <c r="U12" s="129"/>
      <c r="V12" s="130"/>
      <c r="W12" s="128">
        <v>0</v>
      </c>
      <c r="X12" s="128"/>
      <c r="Y12" s="131" t="str">
        <f ca="1">IF(ISBLANK(BudgetsTable[[#This Row],[budg_seq_yr]]),"FY"&amp;fiscalyear,"FY"&amp;fiscalyear-1+BudgetsTable[[#This Row],[budg_seq_yr]])</f>
        <v>FY18</v>
      </c>
      <c r="Z12" s="129">
        <v>748969</v>
      </c>
      <c r="AA12" s="128" t="s">
        <v>741</v>
      </c>
      <c r="AB12" s="128" t="s">
        <v>901</v>
      </c>
      <c r="AC12" s="126" t="s">
        <v>94</v>
      </c>
      <c r="AD12" s="128" t="s">
        <v>1968</v>
      </c>
    </row>
    <row r="13" spans="1:30">
      <c r="A13" s="125" t="s">
        <v>972</v>
      </c>
      <c r="B13" s="126" t="s">
        <v>1981</v>
      </c>
      <c r="C13" s="126">
        <f>C12+(BudgetsTable[[#This Row],[lead]]&lt;&gt;K12)</f>
        <v>13</v>
      </c>
      <c r="D13" s="126">
        <f>D12*(BudgetsTable[[#This Row],[lead]]=K12)+(BudgetsTable[[#This Row],[prop_id]]&lt;&gt;A12)</f>
        <v>1</v>
      </c>
      <c r="E13" s="127">
        <v>42807.553472222222</v>
      </c>
      <c r="F13" s="128" t="s">
        <v>1965</v>
      </c>
      <c r="G13" s="128" t="s">
        <v>741</v>
      </c>
      <c r="H13" s="128" t="s">
        <v>901</v>
      </c>
      <c r="I13" s="126" t="s">
        <v>540</v>
      </c>
      <c r="J13" s="126" t="s">
        <v>13</v>
      </c>
      <c r="K13" s="128" t="s">
        <v>972</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128" t="s">
        <v>13</v>
      </c>
      <c r="O13" s="7" t="str">
        <f>IF(BudgetsTable[[#This Row],[pi_last_name]]=" ","",HYPERLINK("mailto:"&amp;BudgetsTable[[#This Row],[pi_email]]&amp;"&amp;subject=Your NSF Proposal:  "&amp;BudgetsTable[[#This Row],[prop_id]],BudgetsTable[[#This Row],[pi_email]]))</f>
        <v/>
      </c>
      <c r="P13" s="128" t="s">
        <v>13</v>
      </c>
      <c r="Q13" s="128">
        <v>2</v>
      </c>
      <c r="R13" s="128">
        <v>0</v>
      </c>
      <c r="S13" s="129">
        <v>55000</v>
      </c>
      <c r="T13" s="129">
        <v>0</v>
      </c>
      <c r="U13" s="129">
        <v>0</v>
      </c>
      <c r="V13" s="130">
        <v>249348</v>
      </c>
      <c r="W13" s="128">
        <v>0</v>
      </c>
      <c r="X13" s="128">
        <v>1</v>
      </c>
      <c r="Y13" s="131" t="str">
        <f ca="1">IF(ISBLANK(BudgetsTable[[#This Row],[budg_seq_yr]]),"FY"&amp;fiscalyear,"FY"&amp;fiscalyear-1+BudgetsTable[[#This Row],[budg_seq_yr]])</f>
        <v>FY18</v>
      </c>
      <c r="Z13" s="129">
        <v>249348</v>
      </c>
      <c r="AA13" s="128" t="s">
        <v>741</v>
      </c>
      <c r="AB13" s="128" t="s">
        <v>901</v>
      </c>
      <c r="AC13" s="126" t="s">
        <v>94</v>
      </c>
      <c r="AD13" s="128" t="s">
        <v>1968</v>
      </c>
    </row>
    <row r="14" spans="1:30">
      <c r="A14" s="125" t="s">
        <v>972</v>
      </c>
      <c r="B14" s="126" t="s">
        <v>1981</v>
      </c>
      <c r="C14" s="126">
        <f>C13+(BudgetsTable[[#This Row],[lead]]&lt;&gt;K13)</f>
        <v>13</v>
      </c>
      <c r="D14" s="126">
        <f>D13*(BudgetsTable[[#This Row],[lead]]=K13)+(BudgetsTable[[#This Row],[prop_id]]&lt;&gt;A13)</f>
        <v>1</v>
      </c>
      <c r="E14" s="127">
        <v>42807.553472222222</v>
      </c>
      <c r="F14" s="128" t="s">
        <v>1965</v>
      </c>
      <c r="G14" s="128" t="s">
        <v>741</v>
      </c>
      <c r="H14" s="128" t="s">
        <v>901</v>
      </c>
      <c r="I14" s="126" t="s">
        <v>540</v>
      </c>
      <c r="J14" s="126" t="s">
        <v>13</v>
      </c>
      <c r="K14" s="128" t="s">
        <v>972</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128" t="s">
        <v>13</v>
      </c>
      <c r="O14" s="7" t="str">
        <f>IF(BudgetsTable[[#This Row],[pi_last_name]]=" ","",HYPERLINK("mailto:"&amp;BudgetsTable[[#This Row],[pi_email]]&amp;"&amp;subject=Your NSF Proposal:  "&amp;BudgetsTable[[#This Row],[prop_id]],BudgetsTable[[#This Row],[pi_email]]))</f>
        <v/>
      </c>
      <c r="P14" s="128" t="s">
        <v>13</v>
      </c>
      <c r="Q14" s="128">
        <v>2</v>
      </c>
      <c r="R14" s="128">
        <v>0</v>
      </c>
      <c r="S14" s="129">
        <v>55000</v>
      </c>
      <c r="T14" s="129">
        <v>0</v>
      </c>
      <c r="U14" s="129">
        <v>0</v>
      </c>
      <c r="V14" s="130">
        <v>249740</v>
      </c>
      <c r="W14" s="128">
        <v>0</v>
      </c>
      <c r="X14" s="128">
        <v>2</v>
      </c>
      <c r="Y14" s="131" t="str">
        <f ca="1">IF(ISBLANK(BudgetsTable[[#This Row],[budg_seq_yr]]),"FY"&amp;fiscalyear,"FY"&amp;fiscalyear-1+BudgetsTable[[#This Row],[budg_seq_yr]])</f>
        <v>FY19</v>
      </c>
      <c r="Z14" s="129">
        <v>249740</v>
      </c>
      <c r="AA14" s="128" t="s">
        <v>741</v>
      </c>
      <c r="AB14" s="128" t="s">
        <v>901</v>
      </c>
      <c r="AC14" s="126" t="s">
        <v>94</v>
      </c>
      <c r="AD14" s="128" t="s">
        <v>1968</v>
      </c>
    </row>
    <row r="15" spans="1:30">
      <c r="A15" s="125" t="s">
        <v>972</v>
      </c>
      <c r="B15" s="126" t="s">
        <v>1981</v>
      </c>
      <c r="C15" s="126">
        <f>C14+(BudgetsTable[[#This Row],[lead]]&lt;&gt;K14)</f>
        <v>13</v>
      </c>
      <c r="D15" s="126">
        <f>D14*(BudgetsTable[[#This Row],[lead]]=K14)+(BudgetsTable[[#This Row],[prop_id]]&lt;&gt;A14)</f>
        <v>1</v>
      </c>
      <c r="E15" s="127">
        <v>42807.553472222222</v>
      </c>
      <c r="F15" s="128" t="s">
        <v>1965</v>
      </c>
      <c r="G15" s="128" t="s">
        <v>741</v>
      </c>
      <c r="H15" s="128" t="s">
        <v>901</v>
      </c>
      <c r="I15" s="126" t="s">
        <v>540</v>
      </c>
      <c r="J15" s="126" t="s">
        <v>13</v>
      </c>
      <c r="K15" s="128" t="s">
        <v>972</v>
      </c>
      <c r="L15" s="7" t="str">
        <f>IF(BudgetsTable[[#This Row],[pi_last_name]]=" ","",HYPERLINK("https://www.ejacket.nsf.gov/ej/showProposal.do?Continue=Y&amp;ID="&amp;BudgetsTable[[#This Row],[prop_id]],BudgetsTable[[#This Row],[prop_id]]))</f>
        <v/>
      </c>
      <c r="M15" s="15" t="str">
        <f>IF(BudgetsTable[[#This Row],[pi_last_name]]=" ","",HYPERLINK("https://www.ejacket.nsf.gov/ej/processReviewAnalysis.do?dispatch=add&amp;uniqId="&amp;BudgetsTable[[#This Row],[prop_id]]&amp;PO_id,"&gt;ra"))</f>
        <v/>
      </c>
      <c r="N15" s="128" t="s">
        <v>13</v>
      </c>
      <c r="O15" s="7" t="str">
        <f>IF(BudgetsTable[[#This Row],[pi_last_name]]=" ","",HYPERLINK("mailto:"&amp;BudgetsTable[[#This Row],[pi_email]]&amp;"&amp;subject=Your NSF Proposal:  "&amp;BudgetsTable[[#This Row],[prop_id]],BudgetsTable[[#This Row],[pi_email]]))</f>
        <v/>
      </c>
      <c r="P15" s="128" t="s">
        <v>13</v>
      </c>
      <c r="Q15" s="128">
        <v>2</v>
      </c>
      <c r="R15" s="128">
        <v>0</v>
      </c>
      <c r="S15" s="129">
        <v>55000</v>
      </c>
      <c r="T15" s="129">
        <v>0</v>
      </c>
      <c r="U15" s="129">
        <v>0</v>
      </c>
      <c r="V15" s="130">
        <v>249881</v>
      </c>
      <c r="W15" s="128">
        <v>0</v>
      </c>
      <c r="X15" s="128">
        <v>3</v>
      </c>
      <c r="Y15" s="131" t="str">
        <f ca="1">IF(ISBLANK(BudgetsTable[[#This Row],[budg_seq_yr]]),"FY"&amp;fiscalyear,"FY"&amp;fiscalyear-1+BudgetsTable[[#This Row],[budg_seq_yr]])</f>
        <v>FY20</v>
      </c>
      <c r="Z15" s="129">
        <v>249881</v>
      </c>
      <c r="AA15" s="128" t="s">
        <v>741</v>
      </c>
      <c r="AB15" s="128" t="s">
        <v>901</v>
      </c>
      <c r="AC15" s="126" t="s">
        <v>94</v>
      </c>
      <c r="AD15" s="128" t="s">
        <v>1968</v>
      </c>
    </row>
    <row r="16" spans="1:30">
      <c r="A16" s="125" t="s">
        <v>1990</v>
      </c>
      <c r="B16" s="126" t="s">
        <v>1989</v>
      </c>
      <c r="C16" s="126">
        <f>C15+(BudgetsTable[[#This Row],[lead]]&lt;&gt;K15)</f>
        <v>13</v>
      </c>
      <c r="D16" s="126">
        <f>D15*(BudgetsTable[[#This Row],[lead]]=K15)+(BudgetsTable[[#This Row],[prop_id]]&lt;&gt;A15)</f>
        <v>2</v>
      </c>
      <c r="E16" s="127">
        <v>42807.668055555558</v>
      </c>
      <c r="F16" s="128" t="s">
        <v>1965</v>
      </c>
      <c r="G16" s="128" t="s">
        <v>741</v>
      </c>
      <c r="H16" s="128" t="s">
        <v>901</v>
      </c>
      <c r="I16" s="126" t="s">
        <v>540</v>
      </c>
      <c r="J16" s="126" t="s">
        <v>1994</v>
      </c>
      <c r="K16" s="128" t="s">
        <v>972</v>
      </c>
      <c r="L16" s="7" t="str">
        <f>IF(BudgetsTable[[#This Row],[pi_last_name]]=" ","",HYPERLINK("https://www.ejacket.nsf.gov/ej/showProposal.do?Continue=Y&amp;ID="&amp;BudgetsTable[[#This Row],[prop_id]],BudgetsTable[[#This Row],[prop_id]]))</f>
        <v>1740596</v>
      </c>
      <c r="M16" s="15" t="str">
        <f>IF(BudgetsTable[[#This Row],[pi_last_name]]=" ","",HYPERLINK("https://www.ejacket.nsf.gov/ej/processReviewAnalysis.do?dispatch=add&amp;uniqId="&amp;BudgetsTable[[#This Row],[prop_id]]&amp;PO_id,"&gt;ra"))</f>
        <v>&gt;ra</v>
      </c>
      <c r="N16" s="128" t="s">
        <v>1991</v>
      </c>
      <c r="O16" s="7" t="str">
        <f>IF(BudgetsTable[[#This Row],[pi_last_name]]=" ","",HYPERLINK("mailto:"&amp;BudgetsTable[[#This Row],[pi_email]]&amp;"&amp;subject=Your NSF Proposal:  "&amp;BudgetsTable[[#This Row],[prop_id]],BudgetsTable[[#This Row],[pi_email]]))</f>
        <v>ekaterina.smirnova@mso.umt.edu</v>
      </c>
      <c r="P16" s="128" t="s">
        <v>1993</v>
      </c>
      <c r="Q16" s="128"/>
      <c r="R16" s="128"/>
      <c r="S16" s="129"/>
      <c r="T16" s="129"/>
      <c r="U16" s="129"/>
      <c r="V16" s="130"/>
      <c r="W16" s="128">
        <v>0</v>
      </c>
      <c r="X16" s="128"/>
      <c r="Y16" s="131" t="str">
        <f ca="1">IF(ISBLANK(BudgetsTable[[#This Row],[budg_seq_yr]]),"FY"&amp;fiscalyear,"FY"&amp;fiscalyear-1+BudgetsTable[[#This Row],[budg_seq_yr]])</f>
        <v>FY18</v>
      </c>
      <c r="Z16" s="129">
        <v>374812</v>
      </c>
      <c r="AA16" s="128" t="s">
        <v>741</v>
      </c>
      <c r="AB16" s="128" t="s">
        <v>901</v>
      </c>
      <c r="AC16" s="126" t="s">
        <v>94</v>
      </c>
      <c r="AD16" s="128" t="s">
        <v>1987</v>
      </c>
    </row>
    <row r="17" spans="1:30">
      <c r="A17" s="125" t="s">
        <v>1990</v>
      </c>
      <c r="B17" s="126" t="s">
        <v>1989</v>
      </c>
      <c r="C17" s="126">
        <f>C16+(BudgetsTable[[#This Row],[lead]]&lt;&gt;K16)</f>
        <v>13</v>
      </c>
      <c r="D17" s="126">
        <f>D16*(BudgetsTable[[#This Row],[lead]]=K16)+(BudgetsTable[[#This Row],[prop_id]]&lt;&gt;A16)</f>
        <v>2</v>
      </c>
      <c r="E17" s="127">
        <v>42807.668055555558</v>
      </c>
      <c r="F17" s="128" t="s">
        <v>1965</v>
      </c>
      <c r="G17" s="128" t="s">
        <v>741</v>
      </c>
      <c r="H17" s="128" t="s">
        <v>901</v>
      </c>
      <c r="I17" s="126" t="s">
        <v>540</v>
      </c>
      <c r="J17" s="126" t="s">
        <v>13</v>
      </c>
      <c r="K17" s="128" t="s">
        <v>972</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128" t="s">
        <v>13</v>
      </c>
      <c r="O17" s="7" t="str">
        <f>IF(BudgetsTable[[#This Row],[pi_last_name]]=" ","",HYPERLINK("mailto:"&amp;BudgetsTable[[#This Row],[pi_email]]&amp;"&amp;subject=Your NSF Proposal:  "&amp;BudgetsTable[[#This Row],[prop_id]],BudgetsTable[[#This Row],[pi_email]]))</f>
        <v/>
      </c>
      <c r="P17" s="128" t="s">
        <v>13</v>
      </c>
      <c r="Q17" s="128">
        <v>1</v>
      </c>
      <c r="R17" s="128">
        <v>2</v>
      </c>
      <c r="S17" s="129">
        <v>0</v>
      </c>
      <c r="T17" s="129">
        <v>0</v>
      </c>
      <c r="U17" s="129">
        <v>0</v>
      </c>
      <c r="V17" s="130">
        <v>124943</v>
      </c>
      <c r="W17" s="128">
        <v>0</v>
      </c>
      <c r="X17" s="128">
        <v>1</v>
      </c>
      <c r="Y17" s="131" t="str">
        <f ca="1">IF(ISBLANK(BudgetsTable[[#This Row],[budg_seq_yr]]),"FY"&amp;fiscalyear,"FY"&amp;fiscalyear-1+BudgetsTable[[#This Row],[budg_seq_yr]])</f>
        <v>FY18</v>
      </c>
      <c r="Z17" s="129">
        <v>124943</v>
      </c>
      <c r="AA17" s="128" t="s">
        <v>741</v>
      </c>
      <c r="AB17" s="128" t="s">
        <v>901</v>
      </c>
      <c r="AC17" s="126" t="s">
        <v>94</v>
      </c>
      <c r="AD17" s="128" t="s">
        <v>1987</v>
      </c>
    </row>
    <row r="18" spans="1:30">
      <c r="A18" s="125" t="s">
        <v>1990</v>
      </c>
      <c r="B18" s="126" t="s">
        <v>1989</v>
      </c>
      <c r="C18" s="126">
        <f>C17+(BudgetsTable[[#This Row],[lead]]&lt;&gt;K17)</f>
        <v>13</v>
      </c>
      <c r="D18" s="126">
        <f>D17*(BudgetsTable[[#This Row],[lead]]=K17)+(BudgetsTable[[#This Row],[prop_id]]&lt;&gt;A17)</f>
        <v>2</v>
      </c>
      <c r="E18" s="127">
        <v>42807.668055555558</v>
      </c>
      <c r="F18" s="128" t="s">
        <v>1965</v>
      </c>
      <c r="G18" s="128" t="s">
        <v>741</v>
      </c>
      <c r="H18" s="128" t="s">
        <v>901</v>
      </c>
      <c r="I18" s="126" t="s">
        <v>540</v>
      </c>
      <c r="J18" s="126" t="s">
        <v>13</v>
      </c>
      <c r="K18" s="128" t="s">
        <v>972</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128" t="s">
        <v>13</v>
      </c>
      <c r="O18" s="7" t="str">
        <f>IF(BudgetsTable[[#This Row],[pi_last_name]]=" ","",HYPERLINK("mailto:"&amp;BudgetsTable[[#This Row],[pi_email]]&amp;"&amp;subject=Your NSF Proposal:  "&amp;BudgetsTable[[#This Row],[prop_id]],BudgetsTable[[#This Row],[pi_email]]))</f>
        <v/>
      </c>
      <c r="P18" s="128" t="s">
        <v>13</v>
      </c>
      <c r="Q18" s="128">
        <v>1</v>
      </c>
      <c r="R18" s="128">
        <v>2</v>
      </c>
      <c r="S18" s="129">
        <v>0</v>
      </c>
      <c r="T18" s="129">
        <v>0</v>
      </c>
      <c r="U18" s="129">
        <v>0</v>
      </c>
      <c r="V18" s="130">
        <v>124883</v>
      </c>
      <c r="W18" s="128">
        <v>0</v>
      </c>
      <c r="X18" s="128">
        <v>2</v>
      </c>
      <c r="Y18" s="131" t="str">
        <f ca="1">IF(ISBLANK(BudgetsTable[[#This Row],[budg_seq_yr]]),"FY"&amp;fiscalyear,"FY"&amp;fiscalyear-1+BudgetsTable[[#This Row],[budg_seq_yr]])</f>
        <v>FY19</v>
      </c>
      <c r="Z18" s="129">
        <v>124883</v>
      </c>
      <c r="AA18" s="128" t="s">
        <v>741</v>
      </c>
      <c r="AB18" s="128" t="s">
        <v>901</v>
      </c>
      <c r="AC18" s="126" t="s">
        <v>94</v>
      </c>
      <c r="AD18" s="128" t="s">
        <v>1987</v>
      </c>
    </row>
    <row r="19" spans="1:30">
      <c r="A19" s="125" t="s">
        <v>1990</v>
      </c>
      <c r="B19" s="126" t="s">
        <v>1989</v>
      </c>
      <c r="C19" s="126">
        <f>C18+(BudgetsTable[[#This Row],[lead]]&lt;&gt;K18)</f>
        <v>13</v>
      </c>
      <c r="D19" s="126">
        <f>D18*(BudgetsTable[[#This Row],[lead]]=K18)+(BudgetsTable[[#This Row],[prop_id]]&lt;&gt;A18)</f>
        <v>2</v>
      </c>
      <c r="E19" s="127">
        <v>42807.668055555558</v>
      </c>
      <c r="F19" s="128" t="s">
        <v>1965</v>
      </c>
      <c r="G19" s="128" t="s">
        <v>741</v>
      </c>
      <c r="H19" s="128" t="s">
        <v>901</v>
      </c>
      <c r="I19" s="126" t="s">
        <v>540</v>
      </c>
      <c r="J19" s="126" t="s">
        <v>13</v>
      </c>
      <c r="K19" s="128" t="s">
        <v>972</v>
      </c>
      <c r="L19" s="7" t="str">
        <f>IF(BudgetsTable[[#This Row],[pi_last_name]]=" ","",HYPERLINK("https://www.ejacket.nsf.gov/ej/showProposal.do?Continue=Y&amp;ID="&amp;BudgetsTable[[#This Row],[prop_id]],BudgetsTable[[#This Row],[prop_id]]))</f>
        <v/>
      </c>
      <c r="M19" s="15" t="str">
        <f>IF(BudgetsTable[[#This Row],[pi_last_name]]=" ","",HYPERLINK("https://www.ejacket.nsf.gov/ej/processReviewAnalysis.do?dispatch=add&amp;uniqId="&amp;BudgetsTable[[#This Row],[prop_id]]&amp;PO_id,"&gt;ra"))</f>
        <v/>
      </c>
      <c r="N19" s="128" t="s">
        <v>13</v>
      </c>
      <c r="O19" s="7" t="str">
        <f>IF(BudgetsTable[[#This Row],[pi_last_name]]=" ","",HYPERLINK("mailto:"&amp;BudgetsTable[[#This Row],[pi_email]]&amp;"&amp;subject=Your NSF Proposal:  "&amp;BudgetsTable[[#This Row],[prop_id]],BudgetsTable[[#This Row],[pi_email]]))</f>
        <v/>
      </c>
      <c r="P19" s="128" t="s">
        <v>13</v>
      </c>
      <c r="Q19" s="128">
        <v>1</v>
      </c>
      <c r="R19" s="128">
        <v>2</v>
      </c>
      <c r="S19" s="129">
        <v>0</v>
      </c>
      <c r="T19" s="129">
        <v>0</v>
      </c>
      <c r="U19" s="129">
        <v>0</v>
      </c>
      <c r="V19" s="130">
        <v>124986</v>
      </c>
      <c r="W19" s="128">
        <v>0</v>
      </c>
      <c r="X19" s="128">
        <v>3</v>
      </c>
      <c r="Y19" s="131" t="str">
        <f ca="1">IF(ISBLANK(BudgetsTable[[#This Row],[budg_seq_yr]]),"FY"&amp;fiscalyear,"FY"&amp;fiscalyear-1+BudgetsTable[[#This Row],[budg_seq_yr]])</f>
        <v>FY20</v>
      </c>
      <c r="Z19" s="129">
        <v>124986</v>
      </c>
      <c r="AA19" s="128" t="s">
        <v>741</v>
      </c>
      <c r="AB19" s="128" t="s">
        <v>901</v>
      </c>
      <c r="AC19" s="126" t="s">
        <v>94</v>
      </c>
      <c r="AD19" s="128" t="s">
        <v>1987</v>
      </c>
    </row>
    <row r="20" spans="1:30">
      <c r="A20" s="125" t="s">
        <v>1996</v>
      </c>
      <c r="B20" s="126" t="s">
        <v>1989</v>
      </c>
      <c r="C20" s="126">
        <f>C19+(BudgetsTable[[#This Row],[lead]]&lt;&gt;K19)</f>
        <v>13</v>
      </c>
      <c r="D20" s="126">
        <f>D19*(BudgetsTable[[#This Row],[lead]]=K19)+(BudgetsTable[[#This Row],[prop_id]]&lt;&gt;A19)</f>
        <v>3</v>
      </c>
      <c r="E20" s="127">
        <v>42807.717361111114</v>
      </c>
      <c r="F20" s="128" t="s">
        <v>1965</v>
      </c>
      <c r="G20" s="128" t="s">
        <v>741</v>
      </c>
      <c r="H20" s="128" t="s">
        <v>901</v>
      </c>
      <c r="I20" s="126" t="s">
        <v>540</v>
      </c>
      <c r="J20" s="126" t="s">
        <v>2000</v>
      </c>
      <c r="K20" s="128" t="s">
        <v>972</v>
      </c>
      <c r="L20" s="7" t="str">
        <f>IF(BudgetsTable[[#This Row],[pi_last_name]]=" ","",HYPERLINK("https://www.ejacket.nsf.gov/ej/showProposal.do?Continue=Y&amp;ID="&amp;BudgetsTable[[#This Row],[prop_id]],BudgetsTable[[#This Row],[prop_id]]))</f>
        <v>1740613</v>
      </c>
      <c r="M20" s="15" t="str">
        <f>IF(BudgetsTable[[#This Row],[pi_last_name]]=" ","",HYPERLINK("https://www.ejacket.nsf.gov/ej/processReviewAnalysis.do?dispatch=add&amp;uniqId="&amp;BudgetsTable[[#This Row],[prop_id]]&amp;PO_id,"&gt;ra"))</f>
        <v>&gt;ra</v>
      </c>
      <c r="N20" s="128" t="s">
        <v>1997</v>
      </c>
      <c r="O20" s="7" t="str">
        <f>IF(BudgetsTable[[#This Row],[pi_last_name]]=" ","",HYPERLINK("mailto:"&amp;BudgetsTable[[#This Row],[pi_email]]&amp;"&amp;subject=Your NSF Proposal:  "&amp;BudgetsTable[[#This Row],[prop_id]],BudgetsTable[[#This Row],[pi_email]]))</f>
        <v>fjafari@uwyo.edu</v>
      </c>
      <c r="P20" s="128" t="s">
        <v>1999</v>
      </c>
      <c r="Q20" s="128"/>
      <c r="R20" s="128"/>
      <c r="S20" s="129"/>
      <c r="T20" s="129"/>
      <c r="U20" s="129"/>
      <c r="V20" s="130"/>
      <c r="W20" s="128">
        <v>0</v>
      </c>
      <c r="X20" s="128"/>
      <c r="Y20" s="131" t="str">
        <f ca="1">IF(ISBLANK(BudgetsTable[[#This Row],[budg_seq_yr]]),"FY"&amp;fiscalyear,"FY"&amp;fiscalyear-1+BudgetsTable[[#This Row],[budg_seq_yr]])</f>
        <v>FY18</v>
      </c>
      <c r="Z20" s="129">
        <v>372322</v>
      </c>
      <c r="AA20" s="128" t="s">
        <v>741</v>
      </c>
      <c r="AB20" s="128" t="s">
        <v>901</v>
      </c>
      <c r="AC20" s="126" t="s">
        <v>94</v>
      </c>
      <c r="AD20" s="128" t="s">
        <v>1995</v>
      </c>
    </row>
    <row r="21" spans="1:30">
      <c r="A21" s="125" t="s">
        <v>1996</v>
      </c>
      <c r="B21" s="126" t="s">
        <v>1989</v>
      </c>
      <c r="C21" s="126">
        <f>C20+(BudgetsTable[[#This Row],[lead]]&lt;&gt;K20)</f>
        <v>13</v>
      </c>
      <c r="D21" s="126">
        <f>D20*(BudgetsTable[[#This Row],[lead]]=K20)+(BudgetsTable[[#This Row],[prop_id]]&lt;&gt;A20)</f>
        <v>3</v>
      </c>
      <c r="E21" s="127">
        <v>42807.717361111114</v>
      </c>
      <c r="F21" s="128" t="s">
        <v>1965</v>
      </c>
      <c r="G21" s="128" t="s">
        <v>741</v>
      </c>
      <c r="H21" s="128" t="s">
        <v>901</v>
      </c>
      <c r="I21" s="126" t="s">
        <v>540</v>
      </c>
      <c r="J21" s="126" t="s">
        <v>13</v>
      </c>
      <c r="K21" s="128" t="s">
        <v>972</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128" t="s">
        <v>13</v>
      </c>
      <c r="O21" s="7" t="str">
        <f>IF(BudgetsTable[[#This Row],[pi_last_name]]=" ","",HYPERLINK("mailto:"&amp;BudgetsTable[[#This Row],[pi_email]]&amp;"&amp;subject=Your NSF Proposal:  "&amp;BudgetsTable[[#This Row],[prop_id]],BudgetsTable[[#This Row],[pi_email]]))</f>
        <v/>
      </c>
      <c r="P21" s="128" t="s">
        <v>13</v>
      </c>
      <c r="Q21" s="128">
        <v>1</v>
      </c>
      <c r="R21" s="128">
        <v>1.35</v>
      </c>
      <c r="S21" s="129">
        <v>0</v>
      </c>
      <c r="T21" s="129">
        <v>0</v>
      </c>
      <c r="U21" s="129">
        <v>0</v>
      </c>
      <c r="V21" s="130">
        <v>124750</v>
      </c>
      <c r="W21" s="128">
        <v>0</v>
      </c>
      <c r="X21" s="128">
        <v>1</v>
      </c>
      <c r="Y21" s="131" t="str">
        <f ca="1">IF(ISBLANK(BudgetsTable[[#This Row],[budg_seq_yr]]),"FY"&amp;fiscalyear,"FY"&amp;fiscalyear-1+BudgetsTable[[#This Row],[budg_seq_yr]])</f>
        <v>FY18</v>
      </c>
      <c r="Z21" s="129">
        <v>124750</v>
      </c>
      <c r="AA21" s="128" t="s">
        <v>741</v>
      </c>
      <c r="AB21" s="128" t="s">
        <v>901</v>
      </c>
      <c r="AC21" s="126" t="s">
        <v>94</v>
      </c>
      <c r="AD21" s="128" t="s">
        <v>1995</v>
      </c>
    </row>
    <row r="22" spans="1:30">
      <c r="A22" s="125" t="s">
        <v>1996</v>
      </c>
      <c r="B22" s="126" t="s">
        <v>1989</v>
      </c>
      <c r="C22" s="126">
        <f>C21+(BudgetsTable[[#This Row],[lead]]&lt;&gt;K21)</f>
        <v>13</v>
      </c>
      <c r="D22" s="126">
        <f>D21*(BudgetsTable[[#This Row],[lead]]=K21)+(BudgetsTable[[#This Row],[prop_id]]&lt;&gt;A21)</f>
        <v>3</v>
      </c>
      <c r="E22" s="127">
        <v>42807.717361111114</v>
      </c>
      <c r="F22" s="128" t="s">
        <v>1965</v>
      </c>
      <c r="G22" s="128" t="s">
        <v>741</v>
      </c>
      <c r="H22" s="128" t="s">
        <v>901</v>
      </c>
      <c r="I22" s="126" t="s">
        <v>540</v>
      </c>
      <c r="J22" s="126" t="s">
        <v>13</v>
      </c>
      <c r="K22" s="128" t="s">
        <v>972</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128" t="s">
        <v>13</v>
      </c>
      <c r="O22" s="7" t="str">
        <f>IF(BudgetsTable[[#This Row],[pi_last_name]]=" ","",HYPERLINK("mailto:"&amp;BudgetsTable[[#This Row],[pi_email]]&amp;"&amp;subject=Your NSF Proposal:  "&amp;BudgetsTable[[#This Row],[prop_id]],BudgetsTable[[#This Row],[pi_email]]))</f>
        <v/>
      </c>
      <c r="P22" s="128" t="s">
        <v>13</v>
      </c>
      <c r="Q22" s="128">
        <v>1</v>
      </c>
      <c r="R22" s="128">
        <v>1.35</v>
      </c>
      <c r="S22" s="129">
        <v>0</v>
      </c>
      <c r="T22" s="129">
        <v>0</v>
      </c>
      <c r="U22" s="129">
        <v>0</v>
      </c>
      <c r="V22" s="130">
        <v>122634</v>
      </c>
      <c r="W22" s="128">
        <v>0</v>
      </c>
      <c r="X22" s="128">
        <v>2</v>
      </c>
      <c r="Y22" s="131" t="str">
        <f ca="1">IF(ISBLANK(BudgetsTable[[#This Row],[budg_seq_yr]]),"FY"&amp;fiscalyear,"FY"&amp;fiscalyear-1+BudgetsTable[[#This Row],[budg_seq_yr]])</f>
        <v>FY19</v>
      </c>
      <c r="Z22" s="129">
        <v>122634</v>
      </c>
      <c r="AA22" s="128" t="s">
        <v>741</v>
      </c>
      <c r="AB22" s="128" t="s">
        <v>901</v>
      </c>
      <c r="AC22" s="126" t="s">
        <v>94</v>
      </c>
      <c r="AD22" s="128" t="s">
        <v>1995</v>
      </c>
    </row>
    <row r="23" spans="1:30">
      <c r="A23" s="125" t="s">
        <v>1996</v>
      </c>
      <c r="B23" s="126" t="s">
        <v>1989</v>
      </c>
      <c r="C23" s="126">
        <f>C22+(BudgetsTable[[#This Row],[lead]]&lt;&gt;K22)</f>
        <v>13</v>
      </c>
      <c r="D23" s="126">
        <f>D22*(BudgetsTable[[#This Row],[lead]]=K22)+(BudgetsTable[[#This Row],[prop_id]]&lt;&gt;A22)</f>
        <v>3</v>
      </c>
      <c r="E23" s="127">
        <v>42807.717361111114</v>
      </c>
      <c r="F23" s="128" t="s">
        <v>1965</v>
      </c>
      <c r="G23" s="128" t="s">
        <v>741</v>
      </c>
      <c r="H23" s="128" t="s">
        <v>901</v>
      </c>
      <c r="I23" s="126" t="s">
        <v>540</v>
      </c>
      <c r="J23" s="126" t="s">
        <v>13</v>
      </c>
      <c r="K23" s="128" t="s">
        <v>972</v>
      </c>
      <c r="L23" s="7" t="str">
        <f>IF(BudgetsTable[[#This Row],[pi_last_name]]=" ","",HYPERLINK("https://www.ejacket.nsf.gov/ej/showProposal.do?Continue=Y&amp;ID="&amp;BudgetsTable[[#This Row],[prop_id]],BudgetsTable[[#This Row],[prop_id]]))</f>
        <v/>
      </c>
      <c r="M23" s="15" t="str">
        <f>IF(BudgetsTable[[#This Row],[pi_last_name]]=" ","",HYPERLINK("https://www.ejacket.nsf.gov/ej/processReviewAnalysis.do?dispatch=add&amp;uniqId="&amp;BudgetsTable[[#This Row],[prop_id]]&amp;PO_id,"&gt;ra"))</f>
        <v/>
      </c>
      <c r="N23" s="128" t="s">
        <v>13</v>
      </c>
      <c r="O23" s="7" t="str">
        <f>IF(BudgetsTable[[#This Row],[pi_last_name]]=" ","",HYPERLINK("mailto:"&amp;BudgetsTable[[#This Row],[pi_email]]&amp;"&amp;subject=Your NSF Proposal:  "&amp;BudgetsTable[[#This Row],[prop_id]],BudgetsTable[[#This Row],[pi_email]]))</f>
        <v/>
      </c>
      <c r="P23" s="128" t="s">
        <v>13</v>
      </c>
      <c r="Q23" s="128">
        <v>1</v>
      </c>
      <c r="R23" s="128">
        <v>1.35</v>
      </c>
      <c r="S23" s="129">
        <v>0</v>
      </c>
      <c r="T23" s="129">
        <v>0</v>
      </c>
      <c r="U23" s="129">
        <v>0</v>
      </c>
      <c r="V23" s="130">
        <v>124938</v>
      </c>
      <c r="W23" s="128">
        <v>0</v>
      </c>
      <c r="X23" s="128">
        <v>3</v>
      </c>
      <c r="Y23" s="131" t="str">
        <f ca="1">IF(ISBLANK(BudgetsTable[[#This Row],[budg_seq_yr]]),"FY"&amp;fiscalyear,"FY"&amp;fiscalyear-1+BudgetsTable[[#This Row],[budg_seq_yr]])</f>
        <v>FY20</v>
      </c>
      <c r="Z23" s="129">
        <v>124938</v>
      </c>
      <c r="AA23" s="128" t="s">
        <v>741</v>
      </c>
      <c r="AB23" s="128" t="s">
        <v>901</v>
      </c>
      <c r="AC23" s="126" t="s">
        <v>94</v>
      </c>
      <c r="AD23" s="128" t="s">
        <v>1995</v>
      </c>
    </row>
    <row r="24" spans="1:30">
      <c r="A24" s="125" t="s">
        <v>985</v>
      </c>
      <c r="B24" s="126" t="s">
        <v>1981</v>
      </c>
      <c r="C24" s="126">
        <f>C23+(BudgetsTable[[#This Row],[lead]]&lt;&gt;K23)</f>
        <v>14</v>
      </c>
      <c r="D24" s="126">
        <f>D23*(BudgetsTable[[#This Row],[lead]]=K23)+(BudgetsTable[[#This Row],[prop_id]]&lt;&gt;A23)</f>
        <v>1</v>
      </c>
      <c r="E24" s="127">
        <v>42807.602777777778</v>
      </c>
      <c r="F24" s="128" t="s">
        <v>1965</v>
      </c>
      <c r="G24" s="128" t="s">
        <v>741</v>
      </c>
      <c r="H24" s="128" t="s">
        <v>901</v>
      </c>
      <c r="I24" s="126" t="s">
        <v>543</v>
      </c>
      <c r="J24" s="126" t="s">
        <v>2006</v>
      </c>
      <c r="K24" s="128" t="s">
        <v>985</v>
      </c>
      <c r="L24" s="7" t="str">
        <f>IF(BudgetsTable[[#This Row],[pi_last_name]]=" ","",HYPERLINK("https://www.ejacket.nsf.gov/ej/showProposal.do?Continue=Y&amp;ID="&amp;BudgetsTable[[#This Row],[prop_id]],BudgetsTable[[#This Row],[prop_id]]))</f>
        <v>1740576</v>
      </c>
      <c r="M24" s="15" t="str">
        <f>IF(BudgetsTable[[#This Row],[pi_last_name]]=" ","",HYPERLINK("https://www.ejacket.nsf.gov/ej/processReviewAnalysis.do?dispatch=add&amp;uniqId="&amp;BudgetsTable[[#This Row],[prop_id]]&amp;PO_id,"&gt;ra"))</f>
        <v>&gt;ra</v>
      </c>
      <c r="N24" s="128" t="s">
        <v>986</v>
      </c>
      <c r="O24" s="7" t="str">
        <f>IF(BudgetsTable[[#This Row],[pi_last_name]]=" ","",HYPERLINK("mailto:"&amp;BudgetsTable[[#This Row],[pi_email]]&amp;"&amp;subject=Your NSF Proposal:  "&amp;BudgetsTable[[#This Row],[prop_id]],BudgetsTable[[#This Row],[pi_email]]))</f>
        <v>kfs7@georgetown.edu</v>
      </c>
      <c r="P24" s="128" t="s">
        <v>2003</v>
      </c>
      <c r="Q24" s="128"/>
      <c r="R24" s="128"/>
      <c r="S24" s="129"/>
      <c r="T24" s="129"/>
      <c r="U24" s="129"/>
      <c r="V24" s="130"/>
      <c r="W24" s="128">
        <v>0</v>
      </c>
      <c r="X24" s="128"/>
      <c r="Y24" s="131" t="str">
        <f ca="1">IF(ISBLANK(BudgetsTable[[#This Row],[budg_seq_yr]]),"FY"&amp;fiscalyear,"FY"&amp;fiscalyear-1+BudgetsTable[[#This Row],[budg_seq_yr]])</f>
        <v>FY18</v>
      </c>
      <c r="Z24" s="129">
        <v>1221000</v>
      </c>
      <c r="AA24" s="128" t="s">
        <v>741</v>
      </c>
      <c r="AB24" s="128" t="s">
        <v>901</v>
      </c>
      <c r="AC24" s="126" t="s">
        <v>94</v>
      </c>
      <c r="AD24" s="128" t="s">
        <v>1968</v>
      </c>
    </row>
    <row r="25" spans="1:30">
      <c r="A25" s="125" t="s">
        <v>985</v>
      </c>
      <c r="B25" s="126" t="s">
        <v>1981</v>
      </c>
      <c r="C25" s="126">
        <f>C24+(BudgetsTable[[#This Row],[lead]]&lt;&gt;K24)</f>
        <v>14</v>
      </c>
      <c r="D25" s="126">
        <f>D24*(BudgetsTable[[#This Row],[lead]]=K24)+(BudgetsTable[[#This Row],[prop_id]]&lt;&gt;A24)</f>
        <v>1</v>
      </c>
      <c r="E25" s="127">
        <v>42807.602777777778</v>
      </c>
      <c r="F25" s="128" t="s">
        <v>1965</v>
      </c>
      <c r="G25" s="128" t="s">
        <v>741</v>
      </c>
      <c r="H25" s="128" t="s">
        <v>901</v>
      </c>
      <c r="I25" s="126" t="s">
        <v>543</v>
      </c>
      <c r="J25" s="126" t="s">
        <v>13</v>
      </c>
      <c r="K25" s="128" t="s">
        <v>985</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128" t="s">
        <v>13</v>
      </c>
      <c r="O25" s="7" t="str">
        <f>IF(BudgetsTable[[#This Row],[pi_last_name]]=" ","",HYPERLINK("mailto:"&amp;BudgetsTable[[#This Row],[pi_email]]&amp;"&amp;subject=Your NSF Proposal:  "&amp;BudgetsTable[[#This Row],[prop_id]],BudgetsTable[[#This Row],[pi_email]]))</f>
        <v/>
      </c>
      <c r="P25" s="128" t="s">
        <v>13</v>
      </c>
      <c r="Q25" s="128">
        <v>5</v>
      </c>
      <c r="R25" s="128">
        <v>5</v>
      </c>
      <c r="S25" s="129">
        <v>0</v>
      </c>
      <c r="T25" s="129">
        <v>0</v>
      </c>
      <c r="U25" s="129">
        <v>20000</v>
      </c>
      <c r="V25" s="130">
        <v>319395</v>
      </c>
      <c r="W25" s="128">
        <v>0</v>
      </c>
      <c r="X25" s="128">
        <v>1</v>
      </c>
      <c r="Y25" s="131" t="str">
        <f ca="1">IF(ISBLANK(BudgetsTable[[#This Row],[budg_seq_yr]]),"FY"&amp;fiscalyear,"FY"&amp;fiscalyear-1+BudgetsTable[[#This Row],[budg_seq_yr]])</f>
        <v>FY18</v>
      </c>
      <c r="Z25" s="129">
        <v>319395</v>
      </c>
      <c r="AA25" s="128" t="s">
        <v>741</v>
      </c>
      <c r="AB25" s="128" t="s">
        <v>901</v>
      </c>
      <c r="AC25" s="126" t="s">
        <v>94</v>
      </c>
      <c r="AD25" s="128" t="s">
        <v>1968</v>
      </c>
    </row>
    <row r="26" spans="1:30">
      <c r="A26" s="125" t="s">
        <v>985</v>
      </c>
      <c r="B26" s="126" t="s">
        <v>1981</v>
      </c>
      <c r="C26" s="126">
        <f>C25+(BudgetsTable[[#This Row],[lead]]&lt;&gt;K25)</f>
        <v>14</v>
      </c>
      <c r="D26" s="126">
        <f>D25*(BudgetsTable[[#This Row],[lead]]=K25)+(BudgetsTable[[#This Row],[prop_id]]&lt;&gt;A25)</f>
        <v>1</v>
      </c>
      <c r="E26" s="127">
        <v>42807.602777777778</v>
      </c>
      <c r="F26" s="128" t="s">
        <v>1965</v>
      </c>
      <c r="G26" s="128" t="s">
        <v>741</v>
      </c>
      <c r="H26" s="128" t="s">
        <v>901</v>
      </c>
      <c r="I26" s="126" t="s">
        <v>543</v>
      </c>
      <c r="J26" s="126" t="s">
        <v>13</v>
      </c>
      <c r="K26" s="128" t="s">
        <v>985</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128" t="s">
        <v>13</v>
      </c>
      <c r="O26" s="7" t="str">
        <f>IF(BudgetsTable[[#This Row],[pi_last_name]]=" ","",HYPERLINK("mailto:"&amp;BudgetsTable[[#This Row],[pi_email]]&amp;"&amp;subject=Your NSF Proposal:  "&amp;BudgetsTable[[#This Row],[prop_id]],BudgetsTable[[#This Row],[pi_email]]))</f>
        <v/>
      </c>
      <c r="P26" s="128" t="s">
        <v>13</v>
      </c>
      <c r="Q26" s="128">
        <v>5</v>
      </c>
      <c r="R26" s="128">
        <v>5</v>
      </c>
      <c r="S26" s="129">
        <v>52000</v>
      </c>
      <c r="T26" s="129">
        <v>0</v>
      </c>
      <c r="U26" s="129">
        <v>34000</v>
      </c>
      <c r="V26" s="130">
        <v>462221</v>
      </c>
      <c r="W26" s="128">
        <v>0</v>
      </c>
      <c r="X26" s="128">
        <v>2</v>
      </c>
      <c r="Y26" s="131" t="str">
        <f ca="1">IF(ISBLANK(BudgetsTable[[#This Row],[budg_seq_yr]]),"FY"&amp;fiscalyear,"FY"&amp;fiscalyear-1+BudgetsTable[[#This Row],[budg_seq_yr]])</f>
        <v>FY19</v>
      </c>
      <c r="Z26" s="129">
        <v>462221</v>
      </c>
      <c r="AA26" s="128" t="s">
        <v>741</v>
      </c>
      <c r="AB26" s="128" t="s">
        <v>901</v>
      </c>
      <c r="AC26" s="126" t="s">
        <v>94</v>
      </c>
      <c r="AD26" s="128" t="s">
        <v>1968</v>
      </c>
    </row>
    <row r="27" spans="1:30">
      <c r="A27" s="125" t="s">
        <v>985</v>
      </c>
      <c r="B27" s="126" t="s">
        <v>1981</v>
      </c>
      <c r="C27" s="126">
        <f>C26+(BudgetsTable[[#This Row],[lead]]&lt;&gt;K26)</f>
        <v>14</v>
      </c>
      <c r="D27" s="126">
        <f>D26*(BudgetsTable[[#This Row],[lead]]=K26)+(BudgetsTable[[#This Row],[prop_id]]&lt;&gt;A26)</f>
        <v>1</v>
      </c>
      <c r="E27" s="127">
        <v>42807.602777777778</v>
      </c>
      <c r="F27" s="128" t="s">
        <v>1965</v>
      </c>
      <c r="G27" s="128" t="s">
        <v>741</v>
      </c>
      <c r="H27" s="128" t="s">
        <v>901</v>
      </c>
      <c r="I27" s="126" t="s">
        <v>543</v>
      </c>
      <c r="J27" s="126" t="s">
        <v>13</v>
      </c>
      <c r="K27" s="128" t="s">
        <v>985</v>
      </c>
      <c r="L27" s="7" t="str">
        <f>IF(BudgetsTable[[#This Row],[pi_last_name]]=" ","",HYPERLINK("https://www.ejacket.nsf.gov/ej/showProposal.do?Continue=Y&amp;ID="&amp;BudgetsTable[[#This Row],[prop_id]],BudgetsTable[[#This Row],[prop_id]]))</f>
        <v/>
      </c>
      <c r="M27" s="15" t="str">
        <f>IF(BudgetsTable[[#This Row],[pi_last_name]]=" ","",HYPERLINK("https://www.ejacket.nsf.gov/ej/processReviewAnalysis.do?dispatch=add&amp;uniqId="&amp;BudgetsTable[[#This Row],[prop_id]]&amp;PO_id,"&gt;ra"))</f>
        <v/>
      </c>
      <c r="N27" s="128" t="s">
        <v>13</v>
      </c>
      <c r="O27" s="7" t="str">
        <f>IF(BudgetsTable[[#This Row],[pi_last_name]]=" ","",HYPERLINK("mailto:"&amp;BudgetsTable[[#This Row],[pi_email]]&amp;"&amp;subject=Your NSF Proposal:  "&amp;BudgetsTable[[#This Row],[prop_id]],BudgetsTable[[#This Row],[pi_email]]))</f>
        <v/>
      </c>
      <c r="P27" s="128" t="s">
        <v>13</v>
      </c>
      <c r="Q27" s="128">
        <v>5</v>
      </c>
      <c r="R27" s="128">
        <v>5</v>
      </c>
      <c r="S27" s="129">
        <v>54100</v>
      </c>
      <c r="T27" s="129">
        <v>0</v>
      </c>
      <c r="U27" s="129">
        <v>16000</v>
      </c>
      <c r="V27" s="130">
        <v>439384</v>
      </c>
      <c r="W27" s="128">
        <v>0</v>
      </c>
      <c r="X27" s="128">
        <v>3</v>
      </c>
      <c r="Y27" s="131" t="str">
        <f ca="1">IF(ISBLANK(BudgetsTable[[#This Row],[budg_seq_yr]]),"FY"&amp;fiscalyear,"FY"&amp;fiscalyear-1+BudgetsTable[[#This Row],[budg_seq_yr]])</f>
        <v>FY20</v>
      </c>
      <c r="Z27" s="129">
        <v>439384</v>
      </c>
      <c r="AA27" s="128" t="s">
        <v>741</v>
      </c>
      <c r="AB27" s="128" t="s">
        <v>901</v>
      </c>
      <c r="AC27" s="126" t="s">
        <v>94</v>
      </c>
      <c r="AD27" s="128" t="s">
        <v>1968</v>
      </c>
    </row>
    <row r="28" spans="1:30">
      <c r="A28" s="125" t="s">
        <v>2008</v>
      </c>
      <c r="B28" s="126" t="s">
        <v>1989</v>
      </c>
      <c r="C28" s="126">
        <f>C27+(BudgetsTable[[#This Row],[lead]]&lt;&gt;K27)</f>
        <v>14</v>
      </c>
      <c r="D28" s="126">
        <f>D27*(BudgetsTable[[#This Row],[lead]]=K27)+(BudgetsTable[[#This Row],[prop_id]]&lt;&gt;A27)</f>
        <v>2</v>
      </c>
      <c r="E28" s="127">
        <v>42804.649305555555</v>
      </c>
      <c r="F28" s="128" t="s">
        <v>1965</v>
      </c>
      <c r="G28" s="128" t="s">
        <v>741</v>
      </c>
      <c r="H28" s="128" t="s">
        <v>901</v>
      </c>
      <c r="I28" s="126" t="s">
        <v>543</v>
      </c>
      <c r="J28" s="126" t="s">
        <v>2012</v>
      </c>
      <c r="K28" s="128" t="s">
        <v>985</v>
      </c>
      <c r="L28" s="7" t="str">
        <f>IF(BudgetsTable[[#This Row],[pi_last_name]]=" ","",HYPERLINK("https://www.ejacket.nsf.gov/ej/showProposal.do?Continue=Y&amp;ID="&amp;BudgetsTable[[#This Row],[prop_id]],BudgetsTable[[#This Row],[prop_id]]))</f>
        <v>1740516</v>
      </c>
      <c r="M28" s="15" t="str">
        <f>IF(BudgetsTable[[#This Row],[pi_last_name]]=" ","",HYPERLINK("https://www.ejacket.nsf.gov/ej/processReviewAnalysis.do?dispatch=add&amp;uniqId="&amp;BudgetsTable[[#This Row],[prop_id]]&amp;PO_id,"&gt;ra"))</f>
        <v>&gt;ra</v>
      </c>
      <c r="N28" s="128" t="s">
        <v>2009</v>
      </c>
      <c r="O28" s="7" t="str">
        <f>IF(BudgetsTable[[#This Row],[pi_last_name]]=" ","",HYPERLINK("mailto:"&amp;BudgetsTable[[#This Row],[pi_email]]&amp;"&amp;subject=Your NSF Proposal:  "&amp;BudgetsTable[[#This Row],[prop_id]],BudgetsTable[[#This Row],[pi_email]]))</f>
        <v>cmontel@gwu.edu</v>
      </c>
      <c r="P28" s="128" t="s">
        <v>2011</v>
      </c>
      <c r="Q28" s="128"/>
      <c r="R28" s="128"/>
      <c r="S28" s="129"/>
      <c r="T28" s="129"/>
      <c r="U28" s="129"/>
      <c r="V28" s="130"/>
      <c r="W28" s="128">
        <v>0</v>
      </c>
      <c r="X28" s="128"/>
      <c r="Y28" s="131" t="str">
        <f ca="1">IF(ISBLANK(BudgetsTable[[#This Row],[budg_seq_yr]]),"FY"&amp;fiscalyear,"FY"&amp;fiscalyear-1+BudgetsTable[[#This Row],[budg_seq_yr]])</f>
        <v>FY18</v>
      </c>
      <c r="Z28" s="129">
        <v>279000</v>
      </c>
      <c r="AA28" s="128" t="s">
        <v>741</v>
      </c>
      <c r="AB28" s="128" t="s">
        <v>901</v>
      </c>
      <c r="AC28" s="126" t="s">
        <v>94</v>
      </c>
      <c r="AD28" s="128" t="s">
        <v>2007</v>
      </c>
    </row>
    <row r="29" spans="1:30">
      <c r="A29" s="125" t="s">
        <v>2008</v>
      </c>
      <c r="B29" s="126" t="s">
        <v>1989</v>
      </c>
      <c r="C29" s="126">
        <f>C28+(BudgetsTable[[#This Row],[lead]]&lt;&gt;K28)</f>
        <v>14</v>
      </c>
      <c r="D29" s="126">
        <f>D28*(BudgetsTable[[#This Row],[lead]]=K28)+(BudgetsTable[[#This Row],[prop_id]]&lt;&gt;A28)</f>
        <v>2</v>
      </c>
      <c r="E29" s="127">
        <v>42804.649305555555</v>
      </c>
      <c r="F29" s="128" t="s">
        <v>1965</v>
      </c>
      <c r="G29" s="128" t="s">
        <v>741</v>
      </c>
      <c r="H29" s="128" t="s">
        <v>901</v>
      </c>
      <c r="I29" s="126" t="s">
        <v>543</v>
      </c>
      <c r="J29" s="126" t="s">
        <v>13</v>
      </c>
      <c r="K29" s="128" t="s">
        <v>985</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128" t="s">
        <v>13</v>
      </c>
      <c r="O29" s="7" t="str">
        <f>IF(BudgetsTable[[#This Row],[pi_last_name]]=" ","",HYPERLINK("mailto:"&amp;BudgetsTable[[#This Row],[pi_email]]&amp;"&amp;subject=Your NSF Proposal:  "&amp;BudgetsTable[[#This Row],[prop_id]],BudgetsTable[[#This Row],[pi_email]]))</f>
        <v/>
      </c>
      <c r="P29" s="128" t="s">
        <v>13</v>
      </c>
      <c r="Q29" s="128">
        <v>1</v>
      </c>
      <c r="R29" s="128">
        <v>0.48</v>
      </c>
      <c r="S29" s="129">
        <v>0</v>
      </c>
      <c r="T29" s="129">
        <v>3000</v>
      </c>
      <c r="U29" s="129">
        <v>0</v>
      </c>
      <c r="V29" s="130">
        <v>93102</v>
      </c>
      <c r="W29" s="128">
        <v>0</v>
      </c>
      <c r="X29" s="128">
        <v>1</v>
      </c>
      <c r="Y29" s="131" t="str">
        <f ca="1">IF(ISBLANK(BudgetsTable[[#This Row],[budg_seq_yr]]),"FY"&amp;fiscalyear,"FY"&amp;fiscalyear-1+BudgetsTable[[#This Row],[budg_seq_yr]])</f>
        <v>FY18</v>
      </c>
      <c r="Z29" s="129">
        <v>93102</v>
      </c>
      <c r="AA29" s="128" t="s">
        <v>741</v>
      </c>
      <c r="AB29" s="128" t="s">
        <v>901</v>
      </c>
      <c r="AC29" s="126" t="s">
        <v>94</v>
      </c>
      <c r="AD29" s="128" t="s">
        <v>2007</v>
      </c>
    </row>
    <row r="30" spans="1:30">
      <c r="A30" s="125" t="s">
        <v>2008</v>
      </c>
      <c r="B30" s="126" t="s">
        <v>1989</v>
      </c>
      <c r="C30" s="126">
        <f>C29+(BudgetsTable[[#This Row],[lead]]&lt;&gt;K29)</f>
        <v>14</v>
      </c>
      <c r="D30" s="126">
        <f>D29*(BudgetsTable[[#This Row],[lead]]=K29)+(BudgetsTable[[#This Row],[prop_id]]&lt;&gt;A29)</f>
        <v>2</v>
      </c>
      <c r="E30" s="127">
        <v>42804.649305555555</v>
      </c>
      <c r="F30" s="128" t="s">
        <v>1965</v>
      </c>
      <c r="G30" s="128" t="s">
        <v>741</v>
      </c>
      <c r="H30" s="128" t="s">
        <v>901</v>
      </c>
      <c r="I30" s="126" t="s">
        <v>543</v>
      </c>
      <c r="J30" s="126" t="s">
        <v>13</v>
      </c>
      <c r="K30" s="128" t="s">
        <v>985</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128" t="s">
        <v>13</v>
      </c>
      <c r="O30" s="7" t="str">
        <f>IF(BudgetsTable[[#This Row],[pi_last_name]]=" ","",HYPERLINK("mailto:"&amp;BudgetsTable[[#This Row],[pi_email]]&amp;"&amp;subject=Your NSF Proposal:  "&amp;BudgetsTable[[#This Row],[prop_id]],BudgetsTable[[#This Row],[pi_email]]))</f>
        <v/>
      </c>
      <c r="P30" s="128" t="s">
        <v>13</v>
      </c>
      <c r="Q30" s="128">
        <v>1</v>
      </c>
      <c r="R30" s="128">
        <v>0.48</v>
      </c>
      <c r="S30" s="129">
        <v>0</v>
      </c>
      <c r="T30" s="129">
        <v>3000</v>
      </c>
      <c r="U30" s="129">
        <v>0</v>
      </c>
      <c r="V30" s="130">
        <v>91529</v>
      </c>
      <c r="W30" s="128">
        <v>0</v>
      </c>
      <c r="X30" s="128">
        <v>2</v>
      </c>
      <c r="Y30" s="131" t="str">
        <f ca="1">IF(ISBLANK(BudgetsTable[[#This Row],[budg_seq_yr]]),"FY"&amp;fiscalyear,"FY"&amp;fiscalyear-1+BudgetsTable[[#This Row],[budg_seq_yr]])</f>
        <v>FY19</v>
      </c>
      <c r="Z30" s="129">
        <v>91529</v>
      </c>
      <c r="AA30" s="128" t="s">
        <v>741</v>
      </c>
      <c r="AB30" s="128" t="s">
        <v>901</v>
      </c>
      <c r="AC30" s="126" t="s">
        <v>94</v>
      </c>
      <c r="AD30" s="128" t="s">
        <v>2007</v>
      </c>
    </row>
    <row r="31" spans="1:30">
      <c r="A31" s="125" t="s">
        <v>2008</v>
      </c>
      <c r="B31" s="126" t="s">
        <v>1989</v>
      </c>
      <c r="C31" s="126">
        <f>C30+(BudgetsTable[[#This Row],[lead]]&lt;&gt;K30)</f>
        <v>14</v>
      </c>
      <c r="D31" s="126">
        <f>D30*(BudgetsTable[[#This Row],[lead]]=K30)+(BudgetsTable[[#This Row],[prop_id]]&lt;&gt;A30)</f>
        <v>2</v>
      </c>
      <c r="E31" s="127">
        <v>42804.649305555555</v>
      </c>
      <c r="F31" s="128" t="s">
        <v>1965</v>
      </c>
      <c r="G31" s="128" t="s">
        <v>741</v>
      </c>
      <c r="H31" s="128" t="s">
        <v>901</v>
      </c>
      <c r="I31" s="126" t="s">
        <v>543</v>
      </c>
      <c r="J31" s="126" t="s">
        <v>13</v>
      </c>
      <c r="K31" s="128" t="s">
        <v>985</v>
      </c>
      <c r="L31" s="7" t="str">
        <f>IF(BudgetsTable[[#This Row],[pi_last_name]]=" ","",HYPERLINK("https://www.ejacket.nsf.gov/ej/showProposal.do?Continue=Y&amp;ID="&amp;BudgetsTable[[#This Row],[prop_id]],BudgetsTable[[#This Row],[prop_id]]))</f>
        <v/>
      </c>
      <c r="M31" s="15" t="str">
        <f>IF(BudgetsTable[[#This Row],[pi_last_name]]=" ","",HYPERLINK("https://www.ejacket.nsf.gov/ej/processReviewAnalysis.do?dispatch=add&amp;uniqId="&amp;BudgetsTable[[#This Row],[prop_id]]&amp;PO_id,"&gt;ra"))</f>
        <v/>
      </c>
      <c r="N31" s="128" t="s">
        <v>13</v>
      </c>
      <c r="O31" s="7" t="str">
        <f>IF(BudgetsTable[[#This Row],[pi_last_name]]=" ","",HYPERLINK("mailto:"&amp;BudgetsTable[[#This Row],[pi_email]]&amp;"&amp;subject=Your NSF Proposal:  "&amp;BudgetsTable[[#This Row],[prop_id]],BudgetsTable[[#This Row],[pi_email]]))</f>
        <v/>
      </c>
      <c r="P31" s="128" t="s">
        <v>13</v>
      </c>
      <c r="Q31" s="128">
        <v>1</v>
      </c>
      <c r="R31" s="128">
        <v>0.48</v>
      </c>
      <c r="S31" s="129">
        <v>0</v>
      </c>
      <c r="T31" s="129">
        <v>3000</v>
      </c>
      <c r="U31" s="129">
        <v>0</v>
      </c>
      <c r="V31" s="130">
        <v>94369</v>
      </c>
      <c r="W31" s="128">
        <v>0</v>
      </c>
      <c r="X31" s="128">
        <v>3</v>
      </c>
      <c r="Y31" s="131" t="str">
        <f ca="1">IF(ISBLANK(BudgetsTable[[#This Row],[budg_seq_yr]]),"FY"&amp;fiscalyear,"FY"&amp;fiscalyear-1+BudgetsTable[[#This Row],[budg_seq_yr]])</f>
        <v>FY20</v>
      </c>
      <c r="Z31" s="129">
        <v>94369</v>
      </c>
      <c r="AA31" s="128" t="s">
        <v>741</v>
      </c>
      <c r="AB31" s="128" t="s">
        <v>901</v>
      </c>
      <c r="AC31" s="126" t="s">
        <v>94</v>
      </c>
      <c r="AD31" s="128" t="s">
        <v>2007</v>
      </c>
    </row>
    <row r="32" spans="1:30">
      <c r="A32" s="125" t="s">
        <v>1002</v>
      </c>
      <c r="B32" s="126" t="s">
        <v>1981</v>
      </c>
      <c r="C32" s="126">
        <f>C31+(BudgetsTable[[#This Row],[lead]]&lt;&gt;K31)</f>
        <v>15</v>
      </c>
      <c r="D32" s="126">
        <f>D31*(BudgetsTable[[#This Row],[lead]]=K31)+(BudgetsTable[[#This Row],[prop_id]]&lt;&gt;A31)</f>
        <v>1</v>
      </c>
      <c r="E32" s="127">
        <v>42807.631944444445</v>
      </c>
      <c r="F32" s="128" t="s">
        <v>1965</v>
      </c>
      <c r="G32" s="128" t="s">
        <v>741</v>
      </c>
      <c r="H32" s="128" t="s">
        <v>901</v>
      </c>
      <c r="I32" s="126" t="s">
        <v>942</v>
      </c>
      <c r="J32" s="126" t="s">
        <v>2017</v>
      </c>
      <c r="K32" s="128" t="s">
        <v>1002</v>
      </c>
      <c r="L32" s="7" t="str">
        <f>IF(BudgetsTable[[#This Row],[pi_last_name]]=" ","",HYPERLINK("https://www.ejacket.nsf.gov/ej/showProposal.do?Continue=Y&amp;ID="&amp;BudgetsTable[[#This Row],[prop_id]],BudgetsTable[[#This Row],[prop_id]]))</f>
        <v>1740584</v>
      </c>
      <c r="M32" s="15" t="str">
        <f>IF(BudgetsTable[[#This Row],[pi_last_name]]=" ","",HYPERLINK("https://www.ejacket.nsf.gov/ej/processReviewAnalysis.do?dispatch=add&amp;uniqId="&amp;BudgetsTable[[#This Row],[prop_id]]&amp;PO_id,"&gt;ra"))</f>
        <v>&gt;ra</v>
      </c>
      <c r="N32" s="128" t="s">
        <v>1003</v>
      </c>
      <c r="O32" s="7" t="str">
        <f>IF(BudgetsTable[[#This Row],[pi_last_name]]=" ","",HYPERLINK("mailto:"&amp;BudgetsTable[[#This Row],[pi_email]]&amp;"&amp;subject=Your NSF Proposal:  "&amp;BudgetsTable[[#This Row],[prop_id]],BudgetsTable[[#This Row],[pi_email]]))</f>
        <v>jgill@american.edu</v>
      </c>
      <c r="P32" s="128" t="s">
        <v>2014</v>
      </c>
      <c r="Q32" s="128"/>
      <c r="R32" s="128"/>
      <c r="S32" s="129"/>
      <c r="T32" s="129"/>
      <c r="U32" s="129"/>
      <c r="V32" s="130"/>
      <c r="W32" s="128">
        <v>0</v>
      </c>
      <c r="X32" s="128"/>
      <c r="Y32" s="131" t="str">
        <f ca="1">IF(ISBLANK(BudgetsTable[[#This Row],[budg_seq_yr]]),"FY"&amp;fiscalyear,"FY"&amp;fiscalyear-1+BudgetsTable[[#This Row],[budg_seq_yr]])</f>
        <v>FY18</v>
      </c>
      <c r="Z32" s="129">
        <v>792573</v>
      </c>
      <c r="AA32" s="128" t="s">
        <v>741</v>
      </c>
      <c r="AB32" s="128" t="s">
        <v>901</v>
      </c>
      <c r="AC32" s="126" t="s">
        <v>94</v>
      </c>
      <c r="AD32" s="128" t="s">
        <v>1995</v>
      </c>
    </row>
    <row r="33" spans="1:30">
      <c r="A33" s="125" t="s">
        <v>1002</v>
      </c>
      <c r="B33" s="126" t="s">
        <v>1981</v>
      </c>
      <c r="C33" s="126">
        <f>C32+(BudgetsTable[[#This Row],[lead]]&lt;&gt;K32)</f>
        <v>15</v>
      </c>
      <c r="D33" s="126">
        <f>D32*(BudgetsTable[[#This Row],[lead]]=K32)+(BudgetsTable[[#This Row],[prop_id]]&lt;&gt;A32)</f>
        <v>1</v>
      </c>
      <c r="E33" s="127">
        <v>42807.631944444445</v>
      </c>
      <c r="F33" s="128" t="s">
        <v>1965</v>
      </c>
      <c r="G33" s="128" t="s">
        <v>741</v>
      </c>
      <c r="H33" s="128" t="s">
        <v>901</v>
      </c>
      <c r="I33" s="126" t="s">
        <v>942</v>
      </c>
      <c r="J33" s="126" t="s">
        <v>13</v>
      </c>
      <c r="K33" s="128" t="s">
        <v>1002</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128" t="s">
        <v>13</v>
      </c>
      <c r="O33" s="7" t="str">
        <f>IF(BudgetsTable[[#This Row],[pi_last_name]]=" ","",HYPERLINK("mailto:"&amp;BudgetsTable[[#This Row],[pi_email]]&amp;"&amp;subject=Your NSF Proposal:  "&amp;BudgetsTable[[#This Row],[prop_id]],BudgetsTable[[#This Row],[pi_email]]))</f>
        <v/>
      </c>
      <c r="P33" s="128" t="s">
        <v>13</v>
      </c>
      <c r="Q33" s="128">
        <v>7</v>
      </c>
      <c r="R33" s="128">
        <v>4</v>
      </c>
      <c r="S33" s="129">
        <v>0</v>
      </c>
      <c r="T33" s="129">
        <v>6000</v>
      </c>
      <c r="U33" s="129">
        <v>0</v>
      </c>
      <c r="V33" s="130">
        <v>260366</v>
      </c>
      <c r="W33" s="128">
        <v>0</v>
      </c>
      <c r="X33" s="128">
        <v>1</v>
      </c>
      <c r="Y33" s="131" t="str">
        <f ca="1">IF(ISBLANK(BudgetsTable[[#This Row],[budg_seq_yr]]),"FY"&amp;fiscalyear,"FY"&amp;fiscalyear-1+BudgetsTable[[#This Row],[budg_seq_yr]])</f>
        <v>FY18</v>
      </c>
      <c r="Z33" s="129">
        <v>260366</v>
      </c>
      <c r="AA33" s="128" t="s">
        <v>741</v>
      </c>
      <c r="AB33" s="128" t="s">
        <v>901</v>
      </c>
      <c r="AC33" s="126" t="s">
        <v>94</v>
      </c>
      <c r="AD33" s="128" t="s">
        <v>1995</v>
      </c>
    </row>
    <row r="34" spans="1:30">
      <c r="A34" s="125" t="s">
        <v>1002</v>
      </c>
      <c r="B34" s="126" t="s">
        <v>1981</v>
      </c>
      <c r="C34" s="126">
        <f>C33+(BudgetsTable[[#This Row],[lead]]&lt;&gt;K33)</f>
        <v>15</v>
      </c>
      <c r="D34" s="126">
        <f>D33*(BudgetsTable[[#This Row],[lead]]=K33)+(BudgetsTable[[#This Row],[prop_id]]&lt;&gt;A33)</f>
        <v>1</v>
      </c>
      <c r="E34" s="127">
        <v>42807.631944444445</v>
      </c>
      <c r="F34" s="128" t="s">
        <v>1965</v>
      </c>
      <c r="G34" s="128" t="s">
        <v>741</v>
      </c>
      <c r="H34" s="128" t="s">
        <v>901</v>
      </c>
      <c r="I34" s="126" t="s">
        <v>942</v>
      </c>
      <c r="J34" s="126" t="s">
        <v>13</v>
      </c>
      <c r="K34" s="128" t="s">
        <v>1002</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128" t="s">
        <v>13</v>
      </c>
      <c r="O34" s="7" t="str">
        <f>IF(BudgetsTable[[#This Row],[pi_last_name]]=" ","",HYPERLINK("mailto:"&amp;BudgetsTable[[#This Row],[pi_email]]&amp;"&amp;subject=Your NSF Proposal:  "&amp;BudgetsTable[[#This Row],[prop_id]],BudgetsTable[[#This Row],[pi_email]]))</f>
        <v/>
      </c>
      <c r="P34" s="128" t="s">
        <v>13</v>
      </c>
      <c r="Q34" s="128">
        <v>1</v>
      </c>
      <c r="R34" s="128">
        <v>0.5</v>
      </c>
      <c r="S34" s="129">
        <v>60000</v>
      </c>
      <c r="T34" s="129">
        <v>0</v>
      </c>
      <c r="U34" s="129">
        <v>0</v>
      </c>
      <c r="V34" s="130">
        <v>205084</v>
      </c>
      <c r="W34" s="128">
        <v>0</v>
      </c>
      <c r="X34" s="128">
        <v>2</v>
      </c>
      <c r="Y34" s="131" t="str">
        <f ca="1">IF(ISBLANK(BudgetsTable[[#This Row],[budg_seq_yr]]),"FY"&amp;fiscalyear,"FY"&amp;fiscalyear-1+BudgetsTable[[#This Row],[budg_seq_yr]])</f>
        <v>FY19</v>
      </c>
      <c r="Z34" s="129">
        <v>205084</v>
      </c>
      <c r="AA34" s="128" t="s">
        <v>741</v>
      </c>
      <c r="AB34" s="128" t="s">
        <v>901</v>
      </c>
      <c r="AC34" s="126" t="s">
        <v>94</v>
      </c>
      <c r="AD34" s="128" t="s">
        <v>1995</v>
      </c>
    </row>
    <row r="35" spans="1:30">
      <c r="A35" s="125" t="s">
        <v>1002</v>
      </c>
      <c r="B35" s="126" t="s">
        <v>1981</v>
      </c>
      <c r="C35" s="126">
        <f>C34+(BudgetsTable[[#This Row],[lead]]&lt;&gt;K34)</f>
        <v>15</v>
      </c>
      <c r="D35" s="126">
        <f>D34*(BudgetsTable[[#This Row],[lead]]=K34)+(BudgetsTable[[#This Row],[prop_id]]&lt;&gt;A34)</f>
        <v>1</v>
      </c>
      <c r="E35" s="127">
        <v>42807.631944444445</v>
      </c>
      <c r="F35" s="128" t="s">
        <v>1965</v>
      </c>
      <c r="G35" s="128" t="s">
        <v>741</v>
      </c>
      <c r="H35" s="128" t="s">
        <v>901</v>
      </c>
      <c r="I35" s="126" t="s">
        <v>942</v>
      </c>
      <c r="J35" s="126" t="s">
        <v>13</v>
      </c>
      <c r="K35" s="128" t="s">
        <v>1002</v>
      </c>
      <c r="L35" s="7" t="str">
        <f>IF(BudgetsTable[[#This Row],[pi_last_name]]=" ","",HYPERLINK("https://www.ejacket.nsf.gov/ej/showProposal.do?Continue=Y&amp;ID="&amp;BudgetsTable[[#This Row],[prop_id]],BudgetsTable[[#This Row],[prop_id]]))</f>
        <v/>
      </c>
      <c r="M35" s="15" t="str">
        <f>IF(BudgetsTable[[#This Row],[pi_last_name]]=" ","",HYPERLINK("https://www.ejacket.nsf.gov/ej/processReviewAnalysis.do?dispatch=add&amp;uniqId="&amp;BudgetsTable[[#This Row],[prop_id]]&amp;PO_id,"&gt;ra"))</f>
        <v/>
      </c>
      <c r="N35" s="128" t="s">
        <v>13</v>
      </c>
      <c r="O35" s="7" t="str">
        <f>IF(BudgetsTable[[#This Row],[pi_last_name]]=" ","",HYPERLINK("mailto:"&amp;BudgetsTable[[#This Row],[pi_email]]&amp;"&amp;subject=Your NSF Proposal:  "&amp;BudgetsTable[[#This Row],[prop_id]],BudgetsTable[[#This Row],[pi_email]]))</f>
        <v/>
      </c>
      <c r="P35" s="128" t="s">
        <v>13</v>
      </c>
      <c r="Q35" s="128">
        <v>7</v>
      </c>
      <c r="R35" s="128">
        <v>3.5</v>
      </c>
      <c r="S35" s="129">
        <v>61650</v>
      </c>
      <c r="T35" s="129">
        <v>6000</v>
      </c>
      <c r="U35" s="129">
        <v>0</v>
      </c>
      <c r="V35" s="130">
        <v>327123</v>
      </c>
      <c r="W35" s="128">
        <v>0</v>
      </c>
      <c r="X35" s="128">
        <v>3</v>
      </c>
      <c r="Y35" s="131" t="str">
        <f ca="1">IF(ISBLANK(BudgetsTable[[#This Row],[budg_seq_yr]]),"FY"&amp;fiscalyear,"FY"&amp;fiscalyear-1+BudgetsTable[[#This Row],[budg_seq_yr]])</f>
        <v>FY20</v>
      </c>
      <c r="Z35" s="129">
        <v>327123</v>
      </c>
      <c r="AA35" s="128" t="s">
        <v>741</v>
      </c>
      <c r="AB35" s="128" t="s">
        <v>901</v>
      </c>
      <c r="AC35" s="126" t="s">
        <v>94</v>
      </c>
      <c r="AD35" s="128" t="s">
        <v>1995</v>
      </c>
    </row>
    <row r="36" spans="1:30">
      <c r="A36" s="125" t="s">
        <v>1007</v>
      </c>
      <c r="B36" s="126" t="s">
        <v>1989</v>
      </c>
      <c r="C36" s="126">
        <f>C35+(BudgetsTable[[#This Row],[lead]]&lt;&gt;K35)</f>
        <v>15</v>
      </c>
      <c r="D36" s="126">
        <f>D35*(BudgetsTable[[#This Row],[lead]]=K35)+(BudgetsTable[[#This Row],[prop_id]]&lt;&gt;A35)</f>
        <v>2</v>
      </c>
      <c r="E36" s="127">
        <v>42807.65</v>
      </c>
      <c r="F36" s="128" t="s">
        <v>1965</v>
      </c>
      <c r="G36" s="128" t="s">
        <v>741</v>
      </c>
      <c r="H36" s="128" t="s">
        <v>901</v>
      </c>
      <c r="I36" s="126" t="s">
        <v>942</v>
      </c>
      <c r="J36" s="126" t="s">
        <v>896</v>
      </c>
      <c r="K36" s="128" t="s">
        <v>1002</v>
      </c>
      <c r="L36" s="7" t="str">
        <f>IF(BudgetsTable[[#This Row],[pi_last_name]]=" ","",HYPERLINK("https://www.ejacket.nsf.gov/ej/showProposal.do?Continue=Y&amp;ID="&amp;BudgetsTable[[#This Row],[prop_id]],BudgetsTable[[#This Row],[prop_id]]))</f>
        <v>1740589</v>
      </c>
      <c r="M36" s="15" t="str">
        <f>IF(BudgetsTable[[#This Row],[pi_last_name]]=" ","",HYPERLINK("https://www.ejacket.nsf.gov/ej/processReviewAnalysis.do?dispatch=add&amp;uniqId="&amp;BudgetsTable[[#This Row],[prop_id]]&amp;PO_id,"&gt;ra"))</f>
        <v>&gt;ra</v>
      </c>
      <c r="N36" s="128" t="s">
        <v>892</v>
      </c>
      <c r="O36" s="7" t="str">
        <f>IF(BudgetsTable[[#This Row],[pi_last_name]]=" ","",HYPERLINK("mailto:"&amp;BudgetsTable[[#This Row],[pi_email]]&amp;"&amp;subject=Your NSF Proposal:  "&amp;BudgetsTable[[#This Row],[prop_id]],BudgetsTable[[#This Row],[pi_email]]))</f>
        <v>erin.chambers@slu.edu</v>
      </c>
      <c r="P36" s="128" t="s">
        <v>895</v>
      </c>
      <c r="Q36" s="128"/>
      <c r="R36" s="128"/>
      <c r="S36" s="129"/>
      <c r="T36" s="129"/>
      <c r="U36" s="129"/>
      <c r="V36" s="130"/>
      <c r="W36" s="128">
        <v>0</v>
      </c>
      <c r="X36" s="128"/>
      <c r="Y36" s="131" t="str">
        <f ca="1">IF(ISBLANK(BudgetsTable[[#This Row],[budg_seq_yr]]),"FY"&amp;fiscalyear,"FY"&amp;fiscalyear-1+BudgetsTable[[#This Row],[budg_seq_yr]])</f>
        <v>FY18</v>
      </c>
      <c r="Z36" s="129">
        <v>707058</v>
      </c>
      <c r="AA36" s="128" t="s">
        <v>741</v>
      </c>
      <c r="AB36" s="128" t="s">
        <v>901</v>
      </c>
      <c r="AC36" s="126" t="s">
        <v>94</v>
      </c>
      <c r="AD36" s="128" t="s">
        <v>1995</v>
      </c>
    </row>
    <row r="37" spans="1:30">
      <c r="A37" s="125" t="s">
        <v>1007</v>
      </c>
      <c r="B37" s="126" t="s">
        <v>1989</v>
      </c>
      <c r="C37" s="126">
        <f>C36+(BudgetsTable[[#This Row],[lead]]&lt;&gt;K36)</f>
        <v>15</v>
      </c>
      <c r="D37" s="126">
        <f>D36*(BudgetsTable[[#This Row],[lead]]=K36)+(BudgetsTable[[#This Row],[prop_id]]&lt;&gt;A36)</f>
        <v>2</v>
      </c>
      <c r="E37" s="127">
        <v>42807.65</v>
      </c>
      <c r="F37" s="128" t="s">
        <v>1965</v>
      </c>
      <c r="G37" s="128" t="s">
        <v>741</v>
      </c>
      <c r="H37" s="128" t="s">
        <v>901</v>
      </c>
      <c r="I37" s="126" t="s">
        <v>942</v>
      </c>
      <c r="J37" s="126" t="s">
        <v>13</v>
      </c>
      <c r="K37" s="128" t="s">
        <v>1002</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128" t="s">
        <v>13</v>
      </c>
      <c r="O37" s="7" t="str">
        <f>IF(BudgetsTable[[#This Row],[pi_last_name]]=" ","",HYPERLINK("mailto:"&amp;BudgetsTable[[#This Row],[pi_email]]&amp;"&amp;subject=Your NSF Proposal:  "&amp;BudgetsTable[[#This Row],[prop_id]],BudgetsTable[[#This Row],[pi_email]]))</f>
        <v/>
      </c>
      <c r="P37" s="128" t="s">
        <v>13</v>
      </c>
      <c r="Q37" s="128">
        <v>2</v>
      </c>
      <c r="R37" s="128">
        <v>2</v>
      </c>
      <c r="S37" s="129">
        <v>60000</v>
      </c>
      <c r="T37" s="129">
        <v>7500</v>
      </c>
      <c r="U37" s="129">
        <v>0</v>
      </c>
      <c r="V37" s="130">
        <v>239435</v>
      </c>
      <c r="W37" s="128">
        <v>0</v>
      </c>
      <c r="X37" s="128">
        <v>1</v>
      </c>
      <c r="Y37" s="131" t="str">
        <f ca="1">IF(ISBLANK(BudgetsTable[[#This Row],[budg_seq_yr]]),"FY"&amp;fiscalyear,"FY"&amp;fiscalyear-1+BudgetsTable[[#This Row],[budg_seq_yr]])</f>
        <v>FY18</v>
      </c>
      <c r="Z37" s="129">
        <v>239435</v>
      </c>
      <c r="AA37" s="128" t="s">
        <v>741</v>
      </c>
      <c r="AB37" s="128" t="s">
        <v>901</v>
      </c>
      <c r="AC37" s="126" t="s">
        <v>94</v>
      </c>
      <c r="AD37" s="128" t="s">
        <v>1995</v>
      </c>
    </row>
    <row r="38" spans="1:30">
      <c r="A38" s="125" t="s">
        <v>1007</v>
      </c>
      <c r="B38" s="126" t="s">
        <v>1989</v>
      </c>
      <c r="C38" s="126">
        <f>C37+(BudgetsTable[[#This Row],[lead]]&lt;&gt;K37)</f>
        <v>15</v>
      </c>
      <c r="D38" s="126">
        <f>D37*(BudgetsTable[[#This Row],[lead]]=K37)+(BudgetsTable[[#This Row],[prop_id]]&lt;&gt;A37)</f>
        <v>2</v>
      </c>
      <c r="E38" s="127">
        <v>42807.65</v>
      </c>
      <c r="F38" s="128" t="s">
        <v>1965</v>
      </c>
      <c r="G38" s="128" t="s">
        <v>741</v>
      </c>
      <c r="H38" s="128" t="s">
        <v>901</v>
      </c>
      <c r="I38" s="126" t="s">
        <v>942</v>
      </c>
      <c r="J38" s="126" t="s">
        <v>13</v>
      </c>
      <c r="K38" s="128" t="s">
        <v>1002</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128" t="s">
        <v>13</v>
      </c>
      <c r="O38" s="7" t="str">
        <f>IF(BudgetsTable[[#This Row],[pi_last_name]]=" ","",HYPERLINK("mailto:"&amp;BudgetsTable[[#This Row],[pi_email]]&amp;"&amp;subject=Your NSF Proposal:  "&amp;BudgetsTable[[#This Row],[prop_id]],BudgetsTable[[#This Row],[pi_email]]))</f>
        <v/>
      </c>
      <c r="P38" s="128" t="s">
        <v>13</v>
      </c>
      <c r="Q38" s="128">
        <v>1</v>
      </c>
      <c r="R38" s="128">
        <v>2</v>
      </c>
      <c r="S38" s="129">
        <v>60000</v>
      </c>
      <c r="T38" s="129">
        <v>7500</v>
      </c>
      <c r="U38" s="129">
        <v>35000</v>
      </c>
      <c r="V38" s="130">
        <v>294858</v>
      </c>
      <c r="W38" s="128">
        <v>0</v>
      </c>
      <c r="X38" s="128">
        <v>2</v>
      </c>
      <c r="Y38" s="131" t="str">
        <f ca="1">IF(ISBLANK(BudgetsTable[[#This Row],[budg_seq_yr]]),"FY"&amp;fiscalyear,"FY"&amp;fiscalyear-1+BudgetsTable[[#This Row],[budg_seq_yr]])</f>
        <v>FY19</v>
      </c>
      <c r="Z38" s="129">
        <v>294858</v>
      </c>
      <c r="AA38" s="128" t="s">
        <v>741</v>
      </c>
      <c r="AB38" s="128" t="s">
        <v>901</v>
      </c>
      <c r="AC38" s="126" t="s">
        <v>94</v>
      </c>
      <c r="AD38" s="128" t="s">
        <v>1995</v>
      </c>
    </row>
    <row r="39" spans="1:30">
      <c r="A39" s="125" t="s">
        <v>1007</v>
      </c>
      <c r="B39" s="126" t="s">
        <v>1989</v>
      </c>
      <c r="C39" s="126">
        <f>C38+(BudgetsTable[[#This Row],[lead]]&lt;&gt;K38)</f>
        <v>15</v>
      </c>
      <c r="D39" s="126">
        <f>D38*(BudgetsTable[[#This Row],[lead]]=K38)+(BudgetsTable[[#This Row],[prop_id]]&lt;&gt;A38)</f>
        <v>2</v>
      </c>
      <c r="E39" s="127">
        <v>42807.65</v>
      </c>
      <c r="F39" s="128" t="s">
        <v>1965</v>
      </c>
      <c r="G39" s="128" t="s">
        <v>741</v>
      </c>
      <c r="H39" s="128" t="s">
        <v>901</v>
      </c>
      <c r="I39" s="126" t="s">
        <v>942</v>
      </c>
      <c r="J39" s="126" t="s">
        <v>13</v>
      </c>
      <c r="K39" s="128" t="s">
        <v>1002</v>
      </c>
      <c r="L39" s="7" t="str">
        <f>IF(BudgetsTable[[#This Row],[pi_last_name]]=" ","",HYPERLINK("https://www.ejacket.nsf.gov/ej/showProposal.do?Continue=Y&amp;ID="&amp;BudgetsTable[[#This Row],[prop_id]],BudgetsTable[[#This Row],[prop_id]]))</f>
        <v/>
      </c>
      <c r="M39" s="15" t="str">
        <f>IF(BudgetsTable[[#This Row],[pi_last_name]]=" ","",HYPERLINK("https://www.ejacket.nsf.gov/ej/processReviewAnalysis.do?dispatch=add&amp;uniqId="&amp;BudgetsTable[[#This Row],[prop_id]]&amp;PO_id,"&gt;ra"))</f>
        <v/>
      </c>
      <c r="N39" s="128" t="s">
        <v>13</v>
      </c>
      <c r="O39" s="7" t="str">
        <f>IF(BudgetsTable[[#This Row],[pi_last_name]]=" ","",HYPERLINK("mailto:"&amp;BudgetsTable[[#This Row],[pi_email]]&amp;"&amp;subject=Your NSF Proposal:  "&amp;BudgetsTable[[#This Row],[prop_id]],BudgetsTable[[#This Row],[pi_email]]))</f>
        <v/>
      </c>
      <c r="P39" s="128" t="s">
        <v>13</v>
      </c>
      <c r="Q39" s="128">
        <v>4</v>
      </c>
      <c r="R39" s="128">
        <v>4</v>
      </c>
      <c r="S39" s="129">
        <v>0</v>
      </c>
      <c r="T39" s="129">
        <v>7500</v>
      </c>
      <c r="U39" s="129">
        <v>0</v>
      </c>
      <c r="V39" s="130">
        <v>172765</v>
      </c>
      <c r="W39" s="128">
        <v>0</v>
      </c>
      <c r="X39" s="128">
        <v>3</v>
      </c>
      <c r="Y39" s="131" t="str">
        <f ca="1">IF(ISBLANK(BudgetsTable[[#This Row],[budg_seq_yr]]),"FY"&amp;fiscalyear,"FY"&amp;fiscalyear-1+BudgetsTable[[#This Row],[budg_seq_yr]])</f>
        <v>FY20</v>
      </c>
      <c r="Z39" s="129">
        <v>172765</v>
      </c>
      <c r="AA39" s="128" t="s">
        <v>741</v>
      </c>
      <c r="AB39" s="128" t="s">
        <v>901</v>
      </c>
      <c r="AC39" s="126" t="s">
        <v>94</v>
      </c>
      <c r="AD39" s="128" t="s">
        <v>1995</v>
      </c>
    </row>
    <row r="40" spans="1:30">
      <c r="A40" s="125" t="s">
        <v>1023</v>
      </c>
      <c r="B40" s="126" t="s">
        <v>1981</v>
      </c>
      <c r="C40" s="126">
        <f>C39+(BudgetsTable[[#This Row],[lead]]&lt;&gt;K39)</f>
        <v>16</v>
      </c>
      <c r="D40" s="126">
        <f>D39*(BudgetsTable[[#This Row],[lead]]=K39)+(BudgetsTable[[#This Row],[prop_id]]&lt;&gt;A39)</f>
        <v>1</v>
      </c>
      <c r="E40" s="127">
        <v>42807.683333333334</v>
      </c>
      <c r="F40" s="128" t="s">
        <v>1965</v>
      </c>
      <c r="G40" s="128" t="s">
        <v>741</v>
      </c>
      <c r="H40" s="128" t="s">
        <v>901</v>
      </c>
      <c r="I40" s="126" t="s">
        <v>543</v>
      </c>
      <c r="J40" s="126" t="s">
        <v>2023</v>
      </c>
      <c r="K40" s="128" t="s">
        <v>1023</v>
      </c>
      <c r="L40" s="7" t="str">
        <f>IF(BudgetsTable[[#This Row],[pi_last_name]]=" ","",HYPERLINK("https://www.ejacket.nsf.gov/ej/showProposal.do?Continue=Y&amp;ID="&amp;BudgetsTable[[#This Row],[prop_id]],BudgetsTable[[#This Row],[prop_id]]))</f>
        <v>1740605</v>
      </c>
      <c r="M40" s="15" t="str">
        <f>IF(BudgetsTable[[#This Row],[pi_last_name]]=" ","",HYPERLINK("https://www.ejacket.nsf.gov/ej/processReviewAnalysis.do?dispatch=add&amp;uniqId="&amp;BudgetsTable[[#This Row],[prop_id]]&amp;PO_id,"&gt;ra"))</f>
        <v>&gt;ra</v>
      </c>
      <c r="N40" s="128" t="s">
        <v>1024</v>
      </c>
      <c r="O40" s="7" t="str">
        <f>IF(BudgetsTable[[#This Row],[pi_last_name]]=" ","",HYPERLINK("mailto:"&amp;BudgetsTable[[#This Row],[pi_email]]&amp;"&amp;subject=Your NSF Proposal:  "&amp;BudgetsTable[[#This Row],[prop_id]],BudgetsTable[[#This Row],[pi_email]]))</f>
        <v>nalini.ravishanker@uconn.edu</v>
      </c>
      <c r="P40" s="128" t="s">
        <v>2020</v>
      </c>
      <c r="Q40" s="128"/>
      <c r="R40" s="128"/>
      <c r="S40" s="129"/>
      <c r="T40" s="129"/>
      <c r="U40" s="129"/>
      <c r="V40" s="130"/>
      <c r="W40" s="128">
        <v>0</v>
      </c>
      <c r="X40" s="128"/>
      <c r="Y40" s="131" t="str">
        <f ca="1">IF(ISBLANK(BudgetsTable[[#This Row],[budg_seq_yr]]),"FY"&amp;fiscalyear,"FY"&amp;fiscalyear-1+BudgetsTable[[#This Row],[budg_seq_yr]])</f>
        <v>FY18</v>
      </c>
      <c r="Z40" s="129">
        <v>825000</v>
      </c>
      <c r="AA40" s="128" t="s">
        <v>741</v>
      </c>
      <c r="AB40" s="128" t="s">
        <v>901</v>
      </c>
      <c r="AC40" s="126" t="s">
        <v>94</v>
      </c>
      <c r="AD40" s="128" t="s">
        <v>1968</v>
      </c>
    </row>
    <row r="41" spans="1:30">
      <c r="A41" s="125" t="s">
        <v>1023</v>
      </c>
      <c r="B41" s="126" t="s">
        <v>1981</v>
      </c>
      <c r="C41" s="126">
        <f>C40+(BudgetsTable[[#This Row],[lead]]&lt;&gt;K40)</f>
        <v>16</v>
      </c>
      <c r="D41" s="126">
        <f>D40*(BudgetsTable[[#This Row],[lead]]=K40)+(BudgetsTable[[#This Row],[prop_id]]&lt;&gt;A40)</f>
        <v>1</v>
      </c>
      <c r="E41" s="127">
        <v>42807.683333333334</v>
      </c>
      <c r="F41" s="128" t="s">
        <v>1965</v>
      </c>
      <c r="G41" s="128" t="s">
        <v>741</v>
      </c>
      <c r="H41" s="128" t="s">
        <v>901</v>
      </c>
      <c r="I41" s="126" t="s">
        <v>543</v>
      </c>
      <c r="J41" s="126" t="s">
        <v>13</v>
      </c>
      <c r="K41" s="128" t="s">
        <v>1023</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128" t="s">
        <v>13</v>
      </c>
      <c r="O41" s="7" t="str">
        <f>IF(BudgetsTable[[#This Row],[pi_last_name]]=" ","",HYPERLINK("mailto:"&amp;BudgetsTable[[#This Row],[pi_email]]&amp;"&amp;subject=Your NSF Proposal:  "&amp;BudgetsTable[[#This Row],[prop_id]],BudgetsTable[[#This Row],[pi_email]]))</f>
        <v/>
      </c>
      <c r="P41" s="128" t="s">
        <v>13</v>
      </c>
      <c r="Q41" s="128">
        <v>3</v>
      </c>
      <c r="R41" s="128">
        <v>0.7</v>
      </c>
      <c r="S41" s="129">
        <v>55000</v>
      </c>
      <c r="T41" s="129">
        <v>0</v>
      </c>
      <c r="U41" s="129">
        <v>15000</v>
      </c>
      <c r="V41" s="130">
        <v>275000</v>
      </c>
      <c r="W41" s="128">
        <v>0</v>
      </c>
      <c r="X41" s="128">
        <v>1</v>
      </c>
      <c r="Y41" s="131" t="str">
        <f ca="1">IF(ISBLANK(BudgetsTable[[#This Row],[budg_seq_yr]]),"FY"&amp;fiscalyear,"FY"&amp;fiscalyear-1+BudgetsTable[[#This Row],[budg_seq_yr]])</f>
        <v>FY18</v>
      </c>
      <c r="Z41" s="129">
        <v>275000</v>
      </c>
      <c r="AA41" s="128" t="s">
        <v>741</v>
      </c>
      <c r="AB41" s="128" t="s">
        <v>901</v>
      </c>
      <c r="AC41" s="126" t="s">
        <v>94</v>
      </c>
      <c r="AD41" s="128" t="s">
        <v>1968</v>
      </c>
    </row>
    <row r="42" spans="1:30">
      <c r="A42" s="125" t="s">
        <v>1023</v>
      </c>
      <c r="B42" s="126" t="s">
        <v>1981</v>
      </c>
      <c r="C42" s="126">
        <f>C41+(BudgetsTable[[#This Row],[lead]]&lt;&gt;K41)</f>
        <v>16</v>
      </c>
      <c r="D42" s="126">
        <f>D41*(BudgetsTable[[#This Row],[lead]]=K41)+(BudgetsTable[[#This Row],[prop_id]]&lt;&gt;A41)</f>
        <v>1</v>
      </c>
      <c r="E42" s="127">
        <v>42807.683333333334</v>
      </c>
      <c r="F42" s="128" t="s">
        <v>1965</v>
      </c>
      <c r="G42" s="128" t="s">
        <v>741</v>
      </c>
      <c r="H42" s="128" t="s">
        <v>901</v>
      </c>
      <c r="I42" s="126" t="s">
        <v>543</v>
      </c>
      <c r="J42" s="126" t="s">
        <v>13</v>
      </c>
      <c r="K42" s="128" t="s">
        <v>1023</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128" t="s">
        <v>13</v>
      </c>
      <c r="O42" s="7" t="str">
        <f>IF(BudgetsTable[[#This Row],[pi_last_name]]=" ","",HYPERLINK("mailto:"&amp;BudgetsTable[[#This Row],[pi_email]]&amp;"&amp;subject=Your NSF Proposal:  "&amp;BudgetsTable[[#This Row],[prop_id]],BudgetsTable[[#This Row],[pi_email]]))</f>
        <v/>
      </c>
      <c r="P42" s="128" t="s">
        <v>13</v>
      </c>
      <c r="Q42" s="128">
        <v>3</v>
      </c>
      <c r="R42" s="128">
        <v>0.7</v>
      </c>
      <c r="S42" s="129">
        <v>57750</v>
      </c>
      <c r="T42" s="129">
        <v>0</v>
      </c>
      <c r="U42" s="129">
        <v>15000</v>
      </c>
      <c r="V42" s="130">
        <v>275000</v>
      </c>
      <c r="W42" s="128">
        <v>0</v>
      </c>
      <c r="X42" s="128">
        <v>2</v>
      </c>
      <c r="Y42" s="131" t="str">
        <f ca="1">IF(ISBLANK(BudgetsTable[[#This Row],[budg_seq_yr]]),"FY"&amp;fiscalyear,"FY"&amp;fiscalyear-1+BudgetsTable[[#This Row],[budg_seq_yr]])</f>
        <v>FY19</v>
      </c>
      <c r="Z42" s="129">
        <v>275000</v>
      </c>
      <c r="AA42" s="128" t="s">
        <v>741</v>
      </c>
      <c r="AB42" s="128" t="s">
        <v>901</v>
      </c>
      <c r="AC42" s="126" t="s">
        <v>94</v>
      </c>
      <c r="AD42" s="128" t="s">
        <v>1968</v>
      </c>
    </row>
    <row r="43" spans="1:30">
      <c r="A43" s="125" t="s">
        <v>1023</v>
      </c>
      <c r="B43" s="126" t="s">
        <v>1981</v>
      </c>
      <c r="C43" s="126">
        <f>C42+(BudgetsTable[[#This Row],[lead]]&lt;&gt;K42)</f>
        <v>16</v>
      </c>
      <c r="D43" s="126">
        <f>D42*(BudgetsTable[[#This Row],[lead]]=K42)+(BudgetsTable[[#This Row],[prop_id]]&lt;&gt;A42)</f>
        <v>1</v>
      </c>
      <c r="E43" s="127">
        <v>42807.683333333334</v>
      </c>
      <c r="F43" s="128" t="s">
        <v>1965</v>
      </c>
      <c r="G43" s="128" t="s">
        <v>741</v>
      </c>
      <c r="H43" s="128" t="s">
        <v>901</v>
      </c>
      <c r="I43" s="126" t="s">
        <v>543</v>
      </c>
      <c r="J43" s="126" t="s">
        <v>13</v>
      </c>
      <c r="K43" s="128" t="s">
        <v>1023</v>
      </c>
      <c r="L43" s="7" t="str">
        <f>IF(BudgetsTable[[#This Row],[pi_last_name]]=" ","",HYPERLINK("https://www.ejacket.nsf.gov/ej/showProposal.do?Continue=Y&amp;ID="&amp;BudgetsTable[[#This Row],[prop_id]],BudgetsTable[[#This Row],[prop_id]]))</f>
        <v/>
      </c>
      <c r="M43" s="15" t="str">
        <f>IF(BudgetsTable[[#This Row],[pi_last_name]]=" ","",HYPERLINK("https://www.ejacket.nsf.gov/ej/processReviewAnalysis.do?dispatch=add&amp;uniqId="&amp;BudgetsTable[[#This Row],[prop_id]]&amp;PO_id,"&gt;ra"))</f>
        <v/>
      </c>
      <c r="N43" s="128" t="s">
        <v>13</v>
      </c>
      <c r="O43" s="7" t="str">
        <f>IF(BudgetsTable[[#This Row],[pi_last_name]]=" ","",HYPERLINK("mailto:"&amp;BudgetsTable[[#This Row],[pi_email]]&amp;"&amp;subject=Your NSF Proposal:  "&amp;BudgetsTable[[#This Row],[prop_id]],BudgetsTable[[#This Row],[pi_email]]))</f>
        <v/>
      </c>
      <c r="P43" s="128" t="s">
        <v>13</v>
      </c>
      <c r="Q43" s="128">
        <v>3</v>
      </c>
      <c r="R43" s="128">
        <v>0.7</v>
      </c>
      <c r="S43" s="129">
        <v>60638</v>
      </c>
      <c r="T43" s="129">
        <v>0</v>
      </c>
      <c r="U43" s="129">
        <v>15000</v>
      </c>
      <c r="V43" s="130">
        <v>275000</v>
      </c>
      <c r="W43" s="128">
        <v>0</v>
      </c>
      <c r="X43" s="128">
        <v>3</v>
      </c>
      <c r="Y43" s="131" t="str">
        <f ca="1">IF(ISBLANK(BudgetsTable[[#This Row],[budg_seq_yr]]),"FY"&amp;fiscalyear,"FY"&amp;fiscalyear-1+BudgetsTable[[#This Row],[budg_seq_yr]])</f>
        <v>FY20</v>
      </c>
      <c r="Z43" s="129">
        <v>275000</v>
      </c>
      <c r="AA43" s="128" t="s">
        <v>741</v>
      </c>
      <c r="AB43" s="128" t="s">
        <v>901</v>
      </c>
      <c r="AC43" s="126" t="s">
        <v>94</v>
      </c>
      <c r="AD43" s="128" t="s">
        <v>1968</v>
      </c>
    </row>
    <row r="44" spans="1:30">
      <c r="A44" s="125" t="s">
        <v>2024</v>
      </c>
      <c r="B44" s="126" t="s">
        <v>1989</v>
      </c>
      <c r="C44" s="126">
        <f>C43+(BudgetsTable[[#This Row],[lead]]&lt;&gt;K43)</f>
        <v>16</v>
      </c>
      <c r="D44" s="126">
        <f>D43*(BudgetsTable[[#This Row],[lead]]=K43)+(BudgetsTable[[#This Row],[prop_id]]&lt;&gt;A43)</f>
        <v>2</v>
      </c>
      <c r="E44" s="127">
        <v>42807.572222222225</v>
      </c>
      <c r="F44" s="128" t="s">
        <v>1965</v>
      </c>
      <c r="G44" s="128" t="s">
        <v>741</v>
      </c>
      <c r="H44" s="128" t="s">
        <v>901</v>
      </c>
      <c r="I44" s="126" t="s">
        <v>543</v>
      </c>
      <c r="J44" s="126" t="s">
        <v>2029</v>
      </c>
      <c r="K44" s="128" t="s">
        <v>1023</v>
      </c>
      <c r="L44" s="7" t="str">
        <f>IF(BudgetsTable[[#This Row],[pi_last_name]]=" ","",HYPERLINK("https://www.ejacket.nsf.gov/ej/showProposal.do?Continue=Y&amp;ID="&amp;BudgetsTable[[#This Row],[prop_id]],BudgetsTable[[#This Row],[prop_id]]))</f>
        <v>1740565</v>
      </c>
      <c r="M44" s="15" t="str">
        <f>IF(BudgetsTable[[#This Row],[pi_last_name]]=" ","",HYPERLINK("https://www.ejacket.nsf.gov/ej/processReviewAnalysis.do?dispatch=add&amp;uniqId="&amp;BudgetsTable[[#This Row],[prop_id]]&amp;PO_id,"&gt;ra"))</f>
        <v>&gt;ra</v>
      </c>
      <c r="N44" s="128" t="s">
        <v>2025</v>
      </c>
      <c r="O44" s="7" t="str">
        <f>IF(BudgetsTable[[#This Row],[pi_last_name]]=" ","",HYPERLINK("mailto:"&amp;BudgetsTable[[#This Row],[pi_email]]&amp;"&amp;subject=Your NSF Proposal:  "&amp;BudgetsTable[[#This Row],[prop_id]],BudgetsTable[[#This Row],[pi_email]]))</f>
        <v>laubenbacher@uchc.edu</v>
      </c>
      <c r="P44" s="128" t="s">
        <v>2027</v>
      </c>
      <c r="Q44" s="128"/>
      <c r="R44" s="128"/>
      <c r="S44" s="129"/>
      <c r="T44" s="129"/>
      <c r="U44" s="129"/>
      <c r="V44" s="130"/>
      <c r="W44" s="128">
        <v>0</v>
      </c>
      <c r="X44" s="128"/>
      <c r="Y44" s="131" t="str">
        <f ca="1">IF(ISBLANK(BudgetsTable[[#This Row],[budg_seq_yr]]),"FY"&amp;fiscalyear,"FY"&amp;fiscalyear-1+BudgetsTable[[#This Row],[budg_seq_yr]])</f>
        <v>FY18</v>
      </c>
      <c r="Z44" s="129">
        <v>224999</v>
      </c>
      <c r="AA44" s="128" t="s">
        <v>741</v>
      </c>
      <c r="AB44" s="128" t="s">
        <v>901</v>
      </c>
      <c r="AC44" s="126" t="s">
        <v>94</v>
      </c>
      <c r="AD44" s="128" t="s">
        <v>1968</v>
      </c>
    </row>
    <row r="45" spans="1:30">
      <c r="A45" s="125" t="s">
        <v>2024</v>
      </c>
      <c r="B45" s="126" t="s">
        <v>1989</v>
      </c>
      <c r="C45" s="126">
        <f>C44+(BudgetsTable[[#This Row],[lead]]&lt;&gt;K44)</f>
        <v>16</v>
      </c>
      <c r="D45" s="126">
        <f>D44*(BudgetsTable[[#This Row],[lead]]=K44)+(BudgetsTable[[#This Row],[prop_id]]&lt;&gt;A44)</f>
        <v>2</v>
      </c>
      <c r="E45" s="127">
        <v>42807.572222222225</v>
      </c>
      <c r="F45" s="128" t="s">
        <v>1965</v>
      </c>
      <c r="G45" s="128" t="s">
        <v>741</v>
      </c>
      <c r="H45" s="128" t="s">
        <v>901</v>
      </c>
      <c r="I45" s="126" t="s">
        <v>543</v>
      </c>
      <c r="J45" s="126" t="s">
        <v>13</v>
      </c>
      <c r="K45" s="128" t="s">
        <v>1023</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128" t="s">
        <v>13</v>
      </c>
      <c r="O45" s="7" t="str">
        <f>IF(BudgetsTable[[#This Row],[pi_last_name]]=" ","",HYPERLINK("mailto:"&amp;BudgetsTable[[#This Row],[pi_email]]&amp;"&amp;subject=Your NSF Proposal:  "&amp;BudgetsTable[[#This Row],[prop_id]],BudgetsTable[[#This Row],[pi_email]]))</f>
        <v/>
      </c>
      <c r="P45" s="128" t="s">
        <v>13</v>
      </c>
      <c r="Q45" s="128">
        <v>1</v>
      </c>
      <c r="R45" s="128">
        <v>0</v>
      </c>
      <c r="S45" s="129">
        <v>0</v>
      </c>
      <c r="T45" s="129">
        <v>0</v>
      </c>
      <c r="U45" s="129">
        <v>0</v>
      </c>
      <c r="V45" s="130">
        <v>75000</v>
      </c>
      <c r="W45" s="128">
        <v>0</v>
      </c>
      <c r="X45" s="128">
        <v>1</v>
      </c>
      <c r="Y45" s="131" t="str">
        <f ca="1">IF(ISBLANK(BudgetsTable[[#This Row],[budg_seq_yr]]),"FY"&amp;fiscalyear,"FY"&amp;fiscalyear-1+BudgetsTable[[#This Row],[budg_seq_yr]])</f>
        <v>FY18</v>
      </c>
      <c r="Z45" s="129">
        <v>75000</v>
      </c>
      <c r="AA45" s="128" t="s">
        <v>741</v>
      </c>
      <c r="AB45" s="128" t="s">
        <v>901</v>
      </c>
      <c r="AC45" s="126" t="s">
        <v>94</v>
      </c>
      <c r="AD45" s="128" t="s">
        <v>1968</v>
      </c>
    </row>
    <row r="46" spans="1:30">
      <c r="A46" s="125" t="s">
        <v>2024</v>
      </c>
      <c r="B46" s="126" t="s">
        <v>1989</v>
      </c>
      <c r="C46" s="126">
        <f>C45+(BudgetsTable[[#This Row],[lead]]&lt;&gt;K45)</f>
        <v>16</v>
      </c>
      <c r="D46" s="126">
        <f>D45*(BudgetsTable[[#This Row],[lead]]=K45)+(BudgetsTable[[#This Row],[prop_id]]&lt;&gt;A45)</f>
        <v>2</v>
      </c>
      <c r="E46" s="127">
        <v>42807.572222222225</v>
      </c>
      <c r="F46" s="128" t="s">
        <v>1965</v>
      </c>
      <c r="G46" s="128" t="s">
        <v>741</v>
      </c>
      <c r="H46" s="128" t="s">
        <v>901</v>
      </c>
      <c r="I46" s="126" t="s">
        <v>543</v>
      </c>
      <c r="J46" s="126" t="s">
        <v>13</v>
      </c>
      <c r="K46" s="128" t="s">
        <v>1023</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128" t="s">
        <v>13</v>
      </c>
      <c r="O46" s="7" t="str">
        <f>IF(BudgetsTable[[#This Row],[pi_last_name]]=" ","",HYPERLINK("mailto:"&amp;BudgetsTable[[#This Row],[pi_email]]&amp;"&amp;subject=Your NSF Proposal:  "&amp;BudgetsTable[[#This Row],[prop_id]],BudgetsTable[[#This Row],[pi_email]]))</f>
        <v/>
      </c>
      <c r="P46" s="128" t="s">
        <v>13</v>
      </c>
      <c r="Q46" s="128">
        <v>1</v>
      </c>
      <c r="R46" s="128">
        <v>0</v>
      </c>
      <c r="S46" s="129">
        <v>0</v>
      </c>
      <c r="T46" s="129">
        <v>0</v>
      </c>
      <c r="U46" s="129">
        <v>0</v>
      </c>
      <c r="V46" s="130">
        <v>75000</v>
      </c>
      <c r="W46" s="128">
        <v>0</v>
      </c>
      <c r="X46" s="128">
        <v>2</v>
      </c>
      <c r="Y46" s="131" t="str">
        <f ca="1">IF(ISBLANK(BudgetsTable[[#This Row],[budg_seq_yr]]),"FY"&amp;fiscalyear,"FY"&amp;fiscalyear-1+BudgetsTable[[#This Row],[budg_seq_yr]])</f>
        <v>FY19</v>
      </c>
      <c r="Z46" s="129">
        <v>75000</v>
      </c>
      <c r="AA46" s="128" t="s">
        <v>741</v>
      </c>
      <c r="AB46" s="128" t="s">
        <v>901</v>
      </c>
      <c r="AC46" s="126" t="s">
        <v>94</v>
      </c>
      <c r="AD46" s="128" t="s">
        <v>1968</v>
      </c>
    </row>
    <row r="47" spans="1:30">
      <c r="A47" s="125" t="s">
        <v>2024</v>
      </c>
      <c r="B47" s="126" t="s">
        <v>1989</v>
      </c>
      <c r="C47" s="126">
        <f>C46+(BudgetsTable[[#This Row],[lead]]&lt;&gt;K46)</f>
        <v>16</v>
      </c>
      <c r="D47" s="126">
        <f>D46*(BudgetsTable[[#This Row],[lead]]=K46)+(BudgetsTable[[#This Row],[prop_id]]&lt;&gt;A46)</f>
        <v>2</v>
      </c>
      <c r="E47" s="127">
        <v>42807.572222222225</v>
      </c>
      <c r="F47" s="128" t="s">
        <v>1965</v>
      </c>
      <c r="G47" s="128" t="s">
        <v>741</v>
      </c>
      <c r="H47" s="128" t="s">
        <v>901</v>
      </c>
      <c r="I47" s="126" t="s">
        <v>543</v>
      </c>
      <c r="J47" s="126" t="s">
        <v>13</v>
      </c>
      <c r="K47" s="128" t="s">
        <v>1023</v>
      </c>
      <c r="L47" s="7" t="str">
        <f>IF(BudgetsTable[[#This Row],[pi_last_name]]=" ","",HYPERLINK("https://www.ejacket.nsf.gov/ej/showProposal.do?Continue=Y&amp;ID="&amp;BudgetsTable[[#This Row],[prop_id]],BudgetsTable[[#This Row],[prop_id]]))</f>
        <v/>
      </c>
      <c r="M47" s="15" t="str">
        <f>IF(BudgetsTable[[#This Row],[pi_last_name]]=" ","",HYPERLINK("https://www.ejacket.nsf.gov/ej/processReviewAnalysis.do?dispatch=add&amp;uniqId="&amp;BudgetsTable[[#This Row],[prop_id]]&amp;PO_id,"&gt;ra"))</f>
        <v/>
      </c>
      <c r="N47" s="128" t="s">
        <v>13</v>
      </c>
      <c r="O47" s="7" t="str">
        <f>IF(BudgetsTable[[#This Row],[pi_last_name]]=" ","",HYPERLINK("mailto:"&amp;BudgetsTable[[#This Row],[pi_email]]&amp;"&amp;subject=Your NSF Proposal:  "&amp;BudgetsTable[[#This Row],[prop_id]],BudgetsTable[[#This Row],[pi_email]]))</f>
        <v/>
      </c>
      <c r="P47" s="128" t="s">
        <v>13</v>
      </c>
      <c r="Q47" s="128">
        <v>1</v>
      </c>
      <c r="R47" s="128">
        <v>0</v>
      </c>
      <c r="S47" s="129">
        <v>0</v>
      </c>
      <c r="T47" s="129">
        <v>0</v>
      </c>
      <c r="U47" s="129">
        <v>0</v>
      </c>
      <c r="V47" s="130">
        <v>74999</v>
      </c>
      <c r="W47" s="128">
        <v>0</v>
      </c>
      <c r="X47" s="128">
        <v>3</v>
      </c>
      <c r="Y47" s="131" t="str">
        <f ca="1">IF(ISBLANK(BudgetsTable[[#This Row],[budg_seq_yr]]),"FY"&amp;fiscalyear,"FY"&amp;fiscalyear-1+BudgetsTable[[#This Row],[budg_seq_yr]])</f>
        <v>FY20</v>
      </c>
      <c r="Z47" s="129">
        <v>74999</v>
      </c>
      <c r="AA47" s="128" t="s">
        <v>741</v>
      </c>
      <c r="AB47" s="128" t="s">
        <v>901</v>
      </c>
      <c r="AC47" s="126" t="s">
        <v>94</v>
      </c>
      <c r="AD47" s="128" t="s">
        <v>1968</v>
      </c>
    </row>
    <row r="48" spans="1:30">
      <c r="A48" s="125" t="s">
        <v>2030</v>
      </c>
      <c r="B48" s="126" t="s">
        <v>1989</v>
      </c>
      <c r="C48" s="126">
        <f>C47+(BudgetsTable[[#This Row],[lead]]&lt;&gt;K47)</f>
        <v>16</v>
      </c>
      <c r="D48" s="126">
        <f>D47*(BudgetsTable[[#This Row],[lead]]=K47)+(BudgetsTable[[#This Row],[prop_id]]&lt;&gt;A47)</f>
        <v>3</v>
      </c>
      <c r="E48" s="127">
        <v>42809.648611111108</v>
      </c>
      <c r="F48" s="128" t="s">
        <v>1965</v>
      </c>
      <c r="G48" s="128" t="s">
        <v>741</v>
      </c>
      <c r="H48" s="128" t="s">
        <v>901</v>
      </c>
      <c r="I48" s="126" t="s">
        <v>543</v>
      </c>
      <c r="J48" s="126" t="s">
        <v>2033</v>
      </c>
      <c r="K48" s="128" t="s">
        <v>1023</v>
      </c>
      <c r="L48" s="7" t="str">
        <f>IF(BudgetsTable[[#This Row],[pi_last_name]]=" ","",HYPERLINK("https://www.ejacket.nsf.gov/ej/showProposal.do?Continue=Y&amp;ID="&amp;BudgetsTable[[#This Row],[prop_id]],BudgetsTable[[#This Row],[prop_id]]))</f>
        <v>1740800</v>
      </c>
      <c r="M48" s="15" t="str">
        <f>IF(BudgetsTable[[#This Row],[pi_last_name]]=" ","",HYPERLINK("https://www.ejacket.nsf.gov/ej/processReviewAnalysis.do?dispatch=add&amp;uniqId="&amp;BudgetsTable[[#This Row],[prop_id]]&amp;PO_id,"&gt;ra"))</f>
        <v>&gt;ra</v>
      </c>
      <c r="N48" s="128" t="s">
        <v>2031</v>
      </c>
      <c r="O48" s="7" t="str">
        <f>IF(BudgetsTable[[#This Row],[pi_last_name]]=" ","",HYPERLINK("mailto:"&amp;BudgetsTable[[#This Row],[pi_email]]&amp;"&amp;subject=Your NSF Proposal:  "&amp;BudgetsTable[[#This Row],[prop_id]],BudgetsTable[[#This Row],[pi_email]]))</f>
        <v>lavine@math.umass.edu</v>
      </c>
      <c r="P48" s="128" t="s">
        <v>2032</v>
      </c>
      <c r="Q48" s="128"/>
      <c r="R48" s="128"/>
      <c r="S48" s="129"/>
      <c r="T48" s="129"/>
      <c r="U48" s="129"/>
      <c r="V48" s="130"/>
      <c r="W48" s="128">
        <v>0</v>
      </c>
      <c r="X48" s="128"/>
      <c r="Y48" s="131" t="str">
        <f ca="1">IF(ISBLANK(BudgetsTable[[#This Row],[budg_seq_yr]]),"FY"&amp;fiscalyear,"FY"&amp;fiscalyear-1+BudgetsTable[[#This Row],[budg_seq_yr]])</f>
        <v>FY18</v>
      </c>
      <c r="Z48" s="129">
        <v>374046</v>
      </c>
      <c r="AA48" s="128" t="s">
        <v>741</v>
      </c>
      <c r="AB48" s="128" t="s">
        <v>901</v>
      </c>
      <c r="AC48" s="126" t="s">
        <v>94</v>
      </c>
      <c r="AD48" s="128" t="s">
        <v>2007</v>
      </c>
    </row>
    <row r="49" spans="1:30">
      <c r="A49" s="125" t="s">
        <v>2030</v>
      </c>
      <c r="B49" s="126" t="s">
        <v>1989</v>
      </c>
      <c r="C49" s="126">
        <f>C48+(BudgetsTable[[#This Row],[lead]]&lt;&gt;K48)</f>
        <v>16</v>
      </c>
      <c r="D49" s="126">
        <f>D48*(BudgetsTable[[#This Row],[lead]]=K48)+(BudgetsTable[[#This Row],[prop_id]]&lt;&gt;A48)</f>
        <v>3</v>
      </c>
      <c r="E49" s="127">
        <v>42809.648611111108</v>
      </c>
      <c r="F49" s="128" t="s">
        <v>1965</v>
      </c>
      <c r="G49" s="128" t="s">
        <v>741</v>
      </c>
      <c r="H49" s="128" t="s">
        <v>901</v>
      </c>
      <c r="I49" s="126" t="s">
        <v>543</v>
      </c>
      <c r="J49" s="126" t="s">
        <v>13</v>
      </c>
      <c r="K49" s="128" t="s">
        <v>1023</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128" t="s">
        <v>13</v>
      </c>
      <c r="O49" s="7" t="str">
        <f>IF(BudgetsTable[[#This Row],[pi_last_name]]=" ","",HYPERLINK("mailto:"&amp;BudgetsTable[[#This Row],[pi_email]]&amp;"&amp;subject=Your NSF Proposal:  "&amp;BudgetsTable[[#This Row],[prop_id]],BudgetsTable[[#This Row],[pi_email]]))</f>
        <v/>
      </c>
      <c r="P49" s="128" t="s">
        <v>13</v>
      </c>
      <c r="Q49" s="128">
        <v>4</v>
      </c>
      <c r="R49" s="128">
        <v>0.36</v>
      </c>
      <c r="S49" s="129">
        <v>47500</v>
      </c>
      <c r="T49" s="129">
        <v>0</v>
      </c>
      <c r="U49" s="129">
        <v>0</v>
      </c>
      <c r="V49" s="130">
        <v>124254</v>
      </c>
      <c r="W49" s="128">
        <v>0</v>
      </c>
      <c r="X49" s="128">
        <v>1</v>
      </c>
      <c r="Y49" s="131" t="str">
        <f ca="1">IF(ISBLANK(BudgetsTable[[#This Row],[budg_seq_yr]]),"FY"&amp;fiscalyear,"FY"&amp;fiscalyear-1+BudgetsTable[[#This Row],[budg_seq_yr]])</f>
        <v>FY18</v>
      </c>
      <c r="Z49" s="129">
        <v>124254</v>
      </c>
      <c r="AA49" s="128" t="s">
        <v>741</v>
      </c>
      <c r="AB49" s="128" t="s">
        <v>901</v>
      </c>
      <c r="AC49" s="126" t="s">
        <v>94</v>
      </c>
      <c r="AD49" s="128" t="s">
        <v>2007</v>
      </c>
    </row>
    <row r="50" spans="1:30">
      <c r="A50" s="125" t="s">
        <v>2030</v>
      </c>
      <c r="B50" s="126" t="s">
        <v>1989</v>
      </c>
      <c r="C50" s="126">
        <f>C49+(BudgetsTable[[#This Row],[lead]]&lt;&gt;K49)</f>
        <v>16</v>
      </c>
      <c r="D50" s="126">
        <f>D49*(BudgetsTable[[#This Row],[lead]]=K49)+(BudgetsTable[[#This Row],[prop_id]]&lt;&gt;A49)</f>
        <v>3</v>
      </c>
      <c r="E50" s="127">
        <v>42809.648611111108</v>
      </c>
      <c r="F50" s="128" t="s">
        <v>1965</v>
      </c>
      <c r="G50" s="128" t="s">
        <v>741</v>
      </c>
      <c r="H50" s="128" t="s">
        <v>901</v>
      </c>
      <c r="I50" s="126" t="s">
        <v>543</v>
      </c>
      <c r="J50" s="126" t="s">
        <v>13</v>
      </c>
      <c r="K50" s="128" t="s">
        <v>1023</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128" t="s">
        <v>13</v>
      </c>
      <c r="O50" s="7" t="str">
        <f>IF(BudgetsTable[[#This Row],[pi_last_name]]=" ","",HYPERLINK("mailto:"&amp;BudgetsTable[[#This Row],[pi_email]]&amp;"&amp;subject=Your NSF Proposal:  "&amp;BudgetsTable[[#This Row],[prop_id]],BudgetsTable[[#This Row],[pi_email]]))</f>
        <v/>
      </c>
      <c r="P50" s="128" t="s">
        <v>13</v>
      </c>
      <c r="Q50" s="128">
        <v>4</v>
      </c>
      <c r="R50" s="128">
        <v>0.36</v>
      </c>
      <c r="S50" s="129">
        <v>49875</v>
      </c>
      <c r="T50" s="129">
        <v>0</v>
      </c>
      <c r="U50" s="129">
        <v>0</v>
      </c>
      <c r="V50" s="130">
        <v>123187</v>
      </c>
      <c r="W50" s="128">
        <v>0</v>
      </c>
      <c r="X50" s="128">
        <v>2</v>
      </c>
      <c r="Y50" s="131" t="str">
        <f ca="1">IF(ISBLANK(BudgetsTable[[#This Row],[budg_seq_yr]]),"FY"&amp;fiscalyear,"FY"&amp;fiscalyear-1+BudgetsTable[[#This Row],[budg_seq_yr]])</f>
        <v>FY19</v>
      </c>
      <c r="Z50" s="129">
        <v>123187</v>
      </c>
      <c r="AA50" s="128" t="s">
        <v>741</v>
      </c>
      <c r="AB50" s="128" t="s">
        <v>901</v>
      </c>
      <c r="AC50" s="126" t="s">
        <v>94</v>
      </c>
      <c r="AD50" s="128" t="s">
        <v>2007</v>
      </c>
    </row>
    <row r="51" spans="1:30">
      <c r="A51" s="125" t="s">
        <v>2030</v>
      </c>
      <c r="B51" s="126" t="s">
        <v>1989</v>
      </c>
      <c r="C51" s="126">
        <f>C50+(BudgetsTable[[#This Row],[lead]]&lt;&gt;K50)</f>
        <v>16</v>
      </c>
      <c r="D51" s="126">
        <f>D50*(BudgetsTable[[#This Row],[lead]]=K50)+(BudgetsTable[[#This Row],[prop_id]]&lt;&gt;A50)</f>
        <v>3</v>
      </c>
      <c r="E51" s="127">
        <v>42809.648611111108</v>
      </c>
      <c r="F51" s="128" t="s">
        <v>1965</v>
      </c>
      <c r="G51" s="128" t="s">
        <v>741</v>
      </c>
      <c r="H51" s="128" t="s">
        <v>901</v>
      </c>
      <c r="I51" s="126" t="s">
        <v>543</v>
      </c>
      <c r="J51" s="126" t="s">
        <v>13</v>
      </c>
      <c r="K51" s="128" t="s">
        <v>1023</v>
      </c>
      <c r="L51" s="7" t="str">
        <f>IF(BudgetsTable[[#This Row],[pi_last_name]]=" ","",HYPERLINK("https://www.ejacket.nsf.gov/ej/showProposal.do?Continue=Y&amp;ID="&amp;BudgetsTable[[#This Row],[prop_id]],BudgetsTable[[#This Row],[prop_id]]))</f>
        <v/>
      </c>
      <c r="M51" s="15" t="str">
        <f>IF(BudgetsTable[[#This Row],[pi_last_name]]=" ","",HYPERLINK("https://www.ejacket.nsf.gov/ej/processReviewAnalysis.do?dispatch=add&amp;uniqId="&amp;BudgetsTable[[#This Row],[prop_id]]&amp;PO_id,"&gt;ra"))</f>
        <v/>
      </c>
      <c r="N51" s="128" t="s">
        <v>13</v>
      </c>
      <c r="O51" s="7" t="str">
        <f>IF(BudgetsTable[[#This Row],[pi_last_name]]=" ","",HYPERLINK("mailto:"&amp;BudgetsTable[[#This Row],[pi_email]]&amp;"&amp;subject=Your NSF Proposal:  "&amp;BudgetsTable[[#This Row],[prop_id]],BudgetsTable[[#This Row],[pi_email]]))</f>
        <v/>
      </c>
      <c r="P51" s="128" t="s">
        <v>13</v>
      </c>
      <c r="Q51" s="128">
        <v>4</v>
      </c>
      <c r="R51" s="128">
        <v>0.36</v>
      </c>
      <c r="S51" s="129">
        <v>52369</v>
      </c>
      <c r="T51" s="129">
        <v>0</v>
      </c>
      <c r="U51" s="129">
        <v>0</v>
      </c>
      <c r="V51" s="130">
        <v>126605</v>
      </c>
      <c r="W51" s="128">
        <v>0</v>
      </c>
      <c r="X51" s="128">
        <v>3</v>
      </c>
      <c r="Y51" s="131" t="str">
        <f ca="1">IF(ISBLANK(BudgetsTable[[#This Row],[budg_seq_yr]]),"FY"&amp;fiscalyear,"FY"&amp;fiscalyear-1+BudgetsTable[[#This Row],[budg_seq_yr]])</f>
        <v>FY20</v>
      </c>
      <c r="Z51" s="129">
        <v>126605</v>
      </c>
      <c r="AA51" s="128" t="s">
        <v>741</v>
      </c>
      <c r="AB51" s="128" t="s">
        <v>901</v>
      </c>
      <c r="AC51" s="126" t="s">
        <v>94</v>
      </c>
      <c r="AD51" s="128" t="s">
        <v>2007</v>
      </c>
    </row>
    <row r="52" spans="1:30">
      <c r="A52" s="125" t="s">
        <v>1030</v>
      </c>
      <c r="B52" s="126" t="s">
        <v>96</v>
      </c>
      <c r="C52" s="126">
        <f>C51+(BudgetsTable[[#This Row],[lead]]&lt;&gt;K51)</f>
        <v>17</v>
      </c>
      <c r="D52" s="126">
        <f>D51*(BudgetsTable[[#This Row],[lead]]=K51)+(BudgetsTable[[#This Row],[prop_id]]&lt;&gt;A51)</f>
        <v>1</v>
      </c>
      <c r="E52" s="127">
        <v>42808.504861111112</v>
      </c>
      <c r="F52" s="128" t="s">
        <v>1965</v>
      </c>
      <c r="G52" s="128" t="s">
        <v>741</v>
      </c>
      <c r="H52" s="128" t="s">
        <v>901</v>
      </c>
      <c r="I52" s="126" t="s">
        <v>948</v>
      </c>
      <c r="J52" s="126" t="s">
        <v>2038</v>
      </c>
      <c r="K52" s="128" t="s">
        <v>1030</v>
      </c>
      <c r="L52" s="7" t="str">
        <f>IF(BudgetsTable[[#This Row],[pi_last_name]]=" ","",HYPERLINK("https://www.ejacket.nsf.gov/ej/showProposal.do?Continue=Y&amp;ID="&amp;BudgetsTable[[#This Row],[prop_id]],BudgetsTable[[#This Row],[prop_id]]))</f>
        <v>1740646</v>
      </c>
      <c r="M52" s="15" t="str">
        <f>IF(BudgetsTable[[#This Row],[pi_last_name]]=" ","",HYPERLINK("https://www.ejacket.nsf.gov/ej/processReviewAnalysis.do?dispatch=add&amp;uniqId="&amp;BudgetsTable[[#This Row],[prop_id]]&amp;PO_id,"&gt;ra"))</f>
        <v>&gt;ra</v>
      </c>
      <c r="N52" s="128" t="s">
        <v>1031</v>
      </c>
      <c r="O52" s="7" t="str">
        <f>IF(BudgetsTable[[#This Row],[pi_last_name]]=" ","",HYPERLINK("mailto:"&amp;BudgetsTable[[#This Row],[pi_email]]&amp;"&amp;subject=Your NSF Proposal:  "&amp;BudgetsTable[[#This Row],[prop_id]],BudgetsTable[[#This Row],[pi_email]]))</f>
        <v>gvaliant@cs.stanford.edu</v>
      </c>
      <c r="P52" s="128" t="s">
        <v>2035</v>
      </c>
      <c r="Q52" s="128"/>
      <c r="R52" s="128"/>
      <c r="S52" s="129"/>
      <c r="T52" s="129"/>
      <c r="U52" s="129"/>
      <c r="V52" s="130"/>
      <c r="W52" s="128">
        <v>0</v>
      </c>
      <c r="X52" s="128"/>
      <c r="Y52" s="131" t="str">
        <f ca="1">IF(ISBLANK(BudgetsTable[[#This Row],[budg_seq_yr]]),"FY"&amp;fiscalyear,"FY"&amp;fiscalyear-1+BudgetsTable[[#This Row],[budg_seq_yr]])</f>
        <v>FY18</v>
      </c>
      <c r="Z52" s="129">
        <v>1498915</v>
      </c>
      <c r="AA52" s="128" t="s">
        <v>741</v>
      </c>
      <c r="AB52" s="128" t="s">
        <v>901</v>
      </c>
      <c r="AC52" s="126" t="s">
        <v>94</v>
      </c>
      <c r="AD52" s="128" t="s">
        <v>2007</v>
      </c>
    </row>
    <row r="53" spans="1:30">
      <c r="A53" s="125" t="s">
        <v>1030</v>
      </c>
      <c r="B53" s="126" t="s">
        <v>96</v>
      </c>
      <c r="C53" s="126">
        <f>C52+(BudgetsTable[[#This Row],[lead]]&lt;&gt;K52)</f>
        <v>17</v>
      </c>
      <c r="D53" s="126">
        <f>D52*(BudgetsTable[[#This Row],[lead]]=K52)+(BudgetsTable[[#This Row],[prop_id]]&lt;&gt;A52)</f>
        <v>1</v>
      </c>
      <c r="E53" s="127">
        <v>42808.504861111112</v>
      </c>
      <c r="F53" s="128" t="s">
        <v>1965</v>
      </c>
      <c r="G53" s="128" t="s">
        <v>741</v>
      </c>
      <c r="H53" s="128" t="s">
        <v>901</v>
      </c>
      <c r="I53" s="126" t="s">
        <v>948</v>
      </c>
      <c r="J53" s="126" t="s">
        <v>13</v>
      </c>
      <c r="K53" s="128" t="s">
        <v>1030</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128" t="s">
        <v>13</v>
      </c>
      <c r="O53" s="7" t="str">
        <f>IF(BudgetsTable[[#This Row],[pi_last_name]]=" ","",HYPERLINK("mailto:"&amp;BudgetsTable[[#This Row],[pi_email]]&amp;"&amp;subject=Your NSF Proposal:  "&amp;BudgetsTable[[#This Row],[prop_id]],BudgetsTable[[#This Row],[pi_email]]))</f>
        <v/>
      </c>
      <c r="P53" s="128" t="s">
        <v>13</v>
      </c>
      <c r="Q53" s="128">
        <v>7</v>
      </c>
      <c r="R53" s="128">
        <v>1.75</v>
      </c>
      <c r="S53" s="129">
        <v>165624</v>
      </c>
      <c r="T53" s="129">
        <v>6000</v>
      </c>
      <c r="U53" s="129">
        <v>55000</v>
      </c>
      <c r="V53" s="130">
        <v>500564</v>
      </c>
      <c r="W53" s="128">
        <v>0</v>
      </c>
      <c r="X53" s="128">
        <v>1</v>
      </c>
      <c r="Y53" s="131" t="str">
        <f ca="1">IF(ISBLANK(BudgetsTable[[#This Row],[budg_seq_yr]]),"FY"&amp;fiscalyear,"FY"&amp;fiscalyear-1+BudgetsTable[[#This Row],[budg_seq_yr]])</f>
        <v>FY18</v>
      </c>
      <c r="Z53" s="129">
        <v>500564</v>
      </c>
      <c r="AA53" s="128" t="s">
        <v>741</v>
      </c>
      <c r="AB53" s="128" t="s">
        <v>901</v>
      </c>
      <c r="AC53" s="126" t="s">
        <v>94</v>
      </c>
      <c r="AD53" s="128" t="s">
        <v>2007</v>
      </c>
    </row>
    <row r="54" spans="1:30">
      <c r="A54" s="125" t="s">
        <v>1030</v>
      </c>
      <c r="B54" s="126" t="s">
        <v>96</v>
      </c>
      <c r="C54" s="126">
        <f>C53+(BudgetsTable[[#This Row],[lead]]&lt;&gt;K53)</f>
        <v>17</v>
      </c>
      <c r="D54" s="126">
        <f>D53*(BudgetsTable[[#This Row],[lead]]=K53)+(BudgetsTable[[#This Row],[prop_id]]&lt;&gt;A53)</f>
        <v>1</v>
      </c>
      <c r="E54" s="127">
        <v>42808.504861111112</v>
      </c>
      <c r="F54" s="128" t="s">
        <v>1965</v>
      </c>
      <c r="G54" s="128" t="s">
        <v>741</v>
      </c>
      <c r="H54" s="128" t="s">
        <v>901</v>
      </c>
      <c r="I54" s="126" t="s">
        <v>948</v>
      </c>
      <c r="J54" s="126" t="s">
        <v>13</v>
      </c>
      <c r="K54" s="128" t="s">
        <v>1030</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128" t="s">
        <v>13</v>
      </c>
      <c r="O54" s="7" t="str">
        <f>IF(BudgetsTable[[#This Row],[pi_last_name]]=" ","",HYPERLINK("mailto:"&amp;BudgetsTable[[#This Row],[pi_email]]&amp;"&amp;subject=Your NSF Proposal:  "&amp;BudgetsTable[[#This Row],[prop_id]],BudgetsTable[[#This Row],[pi_email]]))</f>
        <v/>
      </c>
      <c r="P54" s="128" t="s">
        <v>13</v>
      </c>
      <c r="Q54" s="128">
        <v>7</v>
      </c>
      <c r="R54" s="128">
        <v>1.75</v>
      </c>
      <c r="S54" s="129">
        <v>170592</v>
      </c>
      <c r="T54" s="129">
        <v>6000</v>
      </c>
      <c r="U54" s="129">
        <v>56650</v>
      </c>
      <c r="V54" s="130">
        <v>500199</v>
      </c>
      <c r="W54" s="128">
        <v>0</v>
      </c>
      <c r="X54" s="128">
        <v>2</v>
      </c>
      <c r="Y54" s="131" t="str">
        <f ca="1">IF(ISBLANK(BudgetsTable[[#This Row],[budg_seq_yr]]),"FY"&amp;fiscalyear,"FY"&amp;fiscalyear-1+BudgetsTable[[#This Row],[budg_seq_yr]])</f>
        <v>FY19</v>
      </c>
      <c r="Z54" s="129">
        <v>500199</v>
      </c>
      <c r="AA54" s="128" t="s">
        <v>741</v>
      </c>
      <c r="AB54" s="128" t="s">
        <v>901</v>
      </c>
      <c r="AC54" s="126" t="s">
        <v>94</v>
      </c>
      <c r="AD54" s="128" t="s">
        <v>2007</v>
      </c>
    </row>
    <row r="55" spans="1:30">
      <c r="A55" s="125" t="s">
        <v>1030</v>
      </c>
      <c r="B55" s="126" t="s">
        <v>96</v>
      </c>
      <c r="C55" s="126">
        <f>C54+(BudgetsTable[[#This Row],[lead]]&lt;&gt;K54)</f>
        <v>17</v>
      </c>
      <c r="D55" s="126">
        <f>D54*(BudgetsTable[[#This Row],[lead]]=K54)+(BudgetsTable[[#This Row],[prop_id]]&lt;&gt;A54)</f>
        <v>1</v>
      </c>
      <c r="E55" s="127">
        <v>42808.504861111112</v>
      </c>
      <c r="F55" s="128" t="s">
        <v>1965</v>
      </c>
      <c r="G55" s="128" t="s">
        <v>741</v>
      </c>
      <c r="H55" s="128" t="s">
        <v>901</v>
      </c>
      <c r="I55" s="126" t="s">
        <v>948</v>
      </c>
      <c r="J55" s="126" t="s">
        <v>13</v>
      </c>
      <c r="K55" s="128" t="s">
        <v>1030</v>
      </c>
      <c r="L55" s="7" t="str">
        <f>IF(BudgetsTable[[#This Row],[pi_last_name]]=" ","",HYPERLINK("https://www.ejacket.nsf.gov/ej/showProposal.do?Continue=Y&amp;ID="&amp;BudgetsTable[[#This Row],[prop_id]],BudgetsTable[[#This Row],[prop_id]]))</f>
        <v/>
      </c>
      <c r="M55" s="15" t="str">
        <f>IF(BudgetsTable[[#This Row],[pi_last_name]]=" ","",HYPERLINK("https://www.ejacket.nsf.gov/ej/processReviewAnalysis.do?dispatch=add&amp;uniqId="&amp;BudgetsTable[[#This Row],[prop_id]]&amp;PO_id,"&gt;ra"))</f>
        <v/>
      </c>
      <c r="N55" s="128" t="s">
        <v>13</v>
      </c>
      <c r="O55" s="7" t="str">
        <f>IF(BudgetsTable[[#This Row],[pi_last_name]]=" ","",HYPERLINK("mailto:"&amp;BudgetsTable[[#This Row],[pi_email]]&amp;"&amp;subject=Your NSF Proposal:  "&amp;BudgetsTable[[#This Row],[prop_id]],BudgetsTable[[#This Row],[pi_email]]))</f>
        <v/>
      </c>
      <c r="P55" s="128" t="s">
        <v>13</v>
      </c>
      <c r="Q55" s="128">
        <v>7</v>
      </c>
      <c r="R55" s="128">
        <v>1.75</v>
      </c>
      <c r="S55" s="129">
        <v>175710</v>
      </c>
      <c r="T55" s="129">
        <v>6000</v>
      </c>
      <c r="U55" s="129">
        <v>58342</v>
      </c>
      <c r="V55" s="130">
        <v>498152</v>
      </c>
      <c r="W55" s="128">
        <v>0</v>
      </c>
      <c r="X55" s="128">
        <v>3</v>
      </c>
      <c r="Y55" s="131" t="str">
        <f ca="1">IF(ISBLANK(BudgetsTable[[#This Row],[budg_seq_yr]]),"FY"&amp;fiscalyear,"FY"&amp;fiscalyear-1+BudgetsTable[[#This Row],[budg_seq_yr]])</f>
        <v>FY20</v>
      </c>
      <c r="Z55" s="129">
        <v>498152</v>
      </c>
      <c r="AA55" s="128" t="s">
        <v>741</v>
      </c>
      <c r="AB55" s="128" t="s">
        <v>901</v>
      </c>
      <c r="AC55" s="126" t="s">
        <v>94</v>
      </c>
      <c r="AD55" s="128" t="s">
        <v>2007</v>
      </c>
    </row>
    <row r="56" spans="1:30">
      <c r="A56" s="125" t="s">
        <v>1041</v>
      </c>
      <c r="B56" s="126" t="s">
        <v>1981</v>
      </c>
      <c r="C56" s="126">
        <f>C55+(BudgetsTable[[#This Row],[lead]]&lt;&gt;K55)</f>
        <v>18</v>
      </c>
      <c r="D56" s="126">
        <f>D55*(BudgetsTable[[#This Row],[lead]]=K55)+(BudgetsTable[[#This Row],[prop_id]]&lt;&gt;A55)</f>
        <v>1</v>
      </c>
      <c r="E56" s="127">
        <v>42808.611805555556</v>
      </c>
      <c r="F56" s="128" t="s">
        <v>1965</v>
      </c>
      <c r="G56" s="128" t="s">
        <v>741</v>
      </c>
      <c r="H56" s="128" t="s">
        <v>901</v>
      </c>
      <c r="I56" s="126" t="s">
        <v>948</v>
      </c>
      <c r="J56" s="126" t="s">
        <v>2044</v>
      </c>
      <c r="K56" s="128" t="s">
        <v>1041</v>
      </c>
      <c r="L56" s="7" t="str">
        <f>IF(BudgetsTable[[#This Row],[pi_last_name]]=" ","",HYPERLINK("https://www.ejacket.nsf.gov/ej/showProposal.do?Continue=Y&amp;ID="&amp;BudgetsTable[[#This Row],[prop_id]],BudgetsTable[[#This Row],[prop_id]]))</f>
        <v>1740672</v>
      </c>
      <c r="M56" s="15" t="str">
        <f>IF(BudgetsTable[[#This Row],[pi_last_name]]=" ","",HYPERLINK("https://www.ejacket.nsf.gov/ej/processReviewAnalysis.do?dispatch=add&amp;uniqId="&amp;BudgetsTable[[#This Row],[prop_id]]&amp;PO_id,"&gt;ra"))</f>
        <v>&gt;ra</v>
      </c>
      <c r="N56" s="128" t="s">
        <v>1042</v>
      </c>
      <c r="O56" s="7" t="str">
        <f>IF(BudgetsTable[[#This Row],[pi_last_name]]=" ","",HYPERLINK("mailto:"&amp;BudgetsTable[[#This Row],[pi_email]]&amp;"&amp;subject=Your NSF Proposal:  "&amp;BudgetsTable[[#This Row],[prop_id]],BudgetsTable[[#This Row],[pi_email]]))</f>
        <v>spa@cs.purdue.edu</v>
      </c>
      <c r="P56" s="128" t="s">
        <v>2041</v>
      </c>
      <c r="Q56" s="128"/>
      <c r="R56" s="128"/>
      <c r="S56" s="129"/>
      <c r="T56" s="129"/>
      <c r="U56" s="129"/>
      <c r="V56" s="130"/>
      <c r="W56" s="128">
        <v>0</v>
      </c>
      <c r="X56" s="128"/>
      <c r="Y56" s="131" t="str">
        <f ca="1">IF(ISBLANK(BudgetsTable[[#This Row],[budg_seq_yr]]),"FY"&amp;fiscalyear,"FY"&amp;fiscalyear-1+BudgetsTable[[#This Row],[budg_seq_yr]])</f>
        <v>FY18</v>
      </c>
      <c r="Z56" s="129">
        <v>900000</v>
      </c>
      <c r="AA56" s="128" t="s">
        <v>741</v>
      </c>
      <c r="AB56" s="128" t="s">
        <v>901</v>
      </c>
      <c r="AC56" s="126" t="s">
        <v>94</v>
      </c>
      <c r="AD56" s="128" t="s">
        <v>1968</v>
      </c>
    </row>
    <row r="57" spans="1:30">
      <c r="A57" s="125" t="s">
        <v>1041</v>
      </c>
      <c r="B57" s="126" t="s">
        <v>1981</v>
      </c>
      <c r="C57" s="126">
        <f>C56+(BudgetsTable[[#This Row],[lead]]&lt;&gt;K56)</f>
        <v>18</v>
      </c>
      <c r="D57" s="126">
        <f>D56*(BudgetsTable[[#This Row],[lead]]=K56)+(BudgetsTable[[#This Row],[prop_id]]&lt;&gt;A56)</f>
        <v>1</v>
      </c>
      <c r="E57" s="127">
        <v>42808.611805555556</v>
      </c>
      <c r="F57" s="128" t="s">
        <v>1965</v>
      </c>
      <c r="G57" s="128" t="s">
        <v>741</v>
      </c>
      <c r="H57" s="128" t="s">
        <v>901</v>
      </c>
      <c r="I57" s="126" t="s">
        <v>948</v>
      </c>
      <c r="J57" s="126" t="s">
        <v>13</v>
      </c>
      <c r="K57" s="128" t="s">
        <v>1041</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128" t="s">
        <v>13</v>
      </c>
      <c r="O57" s="7" t="str">
        <f>IF(BudgetsTable[[#This Row],[pi_last_name]]=" ","",HYPERLINK("mailto:"&amp;BudgetsTable[[#This Row],[pi_email]]&amp;"&amp;subject=Your NSF Proposal:  "&amp;BudgetsTable[[#This Row],[prop_id]],BudgetsTable[[#This Row],[pi_email]]))</f>
        <v/>
      </c>
      <c r="P57" s="128" t="s">
        <v>13</v>
      </c>
      <c r="Q57" s="128">
        <v>2</v>
      </c>
      <c r="R57" s="128">
        <v>0.92</v>
      </c>
      <c r="S57" s="129">
        <v>92181</v>
      </c>
      <c r="T57" s="129">
        <v>15000</v>
      </c>
      <c r="U57" s="129">
        <v>0</v>
      </c>
      <c r="V57" s="130">
        <v>300000</v>
      </c>
      <c r="W57" s="128">
        <v>0</v>
      </c>
      <c r="X57" s="128">
        <v>1</v>
      </c>
      <c r="Y57" s="131" t="str">
        <f ca="1">IF(ISBLANK(BudgetsTable[[#This Row],[budg_seq_yr]]),"FY"&amp;fiscalyear,"FY"&amp;fiscalyear-1+BudgetsTable[[#This Row],[budg_seq_yr]])</f>
        <v>FY18</v>
      </c>
      <c r="Z57" s="129">
        <v>300000</v>
      </c>
      <c r="AA57" s="128" t="s">
        <v>741</v>
      </c>
      <c r="AB57" s="128" t="s">
        <v>901</v>
      </c>
      <c r="AC57" s="126" t="s">
        <v>94</v>
      </c>
      <c r="AD57" s="128" t="s">
        <v>1968</v>
      </c>
    </row>
    <row r="58" spans="1:30">
      <c r="A58" s="125" t="s">
        <v>1041</v>
      </c>
      <c r="B58" s="126" t="s">
        <v>1981</v>
      </c>
      <c r="C58" s="126">
        <f>C57+(BudgetsTable[[#This Row],[lead]]&lt;&gt;K57)</f>
        <v>18</v>
      </c>
      <c r="D58" s="126">
        <f>D57*(BudgetsTable[[#This Row],[lead]]=K57)+(BudgetsTable[[#This Row],[prop_id]]&lt;&gt;A57)</f>
        <v>1</v>
      </c>
      <c r="E58" s="127">
        <v>42808.611805555556</v>
      </c>
      <c r="F58" s="128" t="s">
        <v>1965</v>
      </c>
      <c r="G58" s="128" t="s">
        <v>741</v>
      </c>
      <c r="H58" s="128" t="s">
        <v>901</v>
      </c>
      <c r="I58" s="126" t="s">
        <v>948</v>
      </c>
      <c r="J58" s="126" t="s">
        <v>13</v>
      </c>
      <c r="K58" s="128" t="s">
        <v>1041</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128" t="s">
        <v>13</v>
      </c>
      <c r="O58" s="7" t="str">
        <f>IF(BudgetsTable[[#This Row],[pi_last_name]]=" ","",HYPERLINK("mailto:"&amp;BudgetsTable[[#This Row],[pi_email]]&amp;"&amp;subject=Your NSF Proposal:  "&amp;BudgetsTable[[#This Row],[prop_id]],BudgetsTable[[#This Row],[pi_email]]))</f>
        <v/>
      </c>
      <c r="P58" s="128" t="s">
        <v>13</v>
      </c>
      <c r="Q58" s="128">
        <v>2</v>
      </c>
      <c r="R58" s="128">
        <v>0.92</v>
      </c>
      <c r="S58" s="129">
        <v>91355</v>
      </c>
      <c r="T58" s="129">
        <v>15000</v>
      </c>
      <c r="U58" s="129">
        <v>0</v>
      </c>
      <c r="V58" s="130">
        <v>300000</v>
      </c>
      <c r="W58" s="128">
        <v>0</v>
      </c>
      <c r="X58" s="128">
        <v>2</v>
      </c>
      <c r="Y58" s="131" t="str">
        <f ca="1">IF(ISBLANK(BudgetsTable[[#This Row],[budg_seq_yr]]),"FY"&amp;fiscalyear,"FY"&amp;fiscalyear-1+BudgetsTable[[#This Row],[budg_seq_yr]])</f>
        <v>FY19</v>
      </c>
      <c r="Z58" s="129">
        <v>300000</v>
      </c>
      <c r="AA58" s="128" t="s">
        <v>741</v>
      </c>
      <c r="AB58" s="128" t="s">
        <v>901</v>
      </c>
      <c r="AC58" s="126" t="s">
        <v>94</v>
      </c>
      <c r="AD58" s="128" t="s">
        <v>1968</v>
      </c>
    </row>
    <row r="59" spans="1:30">
      <c r="A59" s="125" t="s">
        <v>1041</v>
      </c>
      <c r="B59" s="126" t="s">
        <v>1981</v>
      </c>
      <c r="C59" s="126">
        <f>C58+(BudgetsTable[[#This Row],[lead]]&lt;&gt;K58)</f>
        <v>18</v>
      </c>
      <c r="D59" s="126">
        <f>D58*(BudgetsTable[[#This Row],[lead]]=K58)+(BudgetsTable[[#This Row],[prop_id]]&lt;&gt;A58)</f>
        <v>1</v>
      </c>
      <c r="E59" s="127">
        <v>42808.611805555556</v>
      </c>
      <c r="F59" s="128" t="s">
        <v>1965</v>
      </c>
      <c r="G59" s="128" t="s">
        <v>741</v>
      </c>
      <c r="H59" s="128" t="s">
        <v>901</v>
      </c>
      <c r="I59" s="126" t="s">
        <v>948</v>
      </c>
      <c r="J59" s="126" t="s">
        <v>13</v>
      </c>
      <c r="K59" s="128" t="s">
        <v>1041</v>
      </c>
      <c r="L59" s="7" t="str">
        <f>IF(BudgetsTable[[#This Row],[pi_last_name]]=" ","",HYPERLINK("https://www.ejacket.nsf.gov/ej/showProposal.do?Continue=Y&amp;ID="&amp;BudgetsTable[[#This Row],[prop_id]],BudgetsTable[[#This Row],[prop_id]]))</f>
        <v/>
      </c>
      <c r="M59" s="15" t="str">
        <f>IF(BudgetsTable[[#This Row],[pi_last_name]]=" ","",HYPERLINK("https://www.ejacket.nsf.gov/ej/processReviewAnalysis.do?dispatch=add&amp;uniqId="&amp;BudgetsTable[[#This Row],[prop_id]]&amp;PO_id,"&gt;ra"))</f>
        <v/>
      </c>
      <c r="N59" s="128" t="s">
        <v>13</v>
      </c>
      <c r="O59" s="7" t="str">
        <f>IF(BudgetsTable[[#This Row],[pi_last_name]]=" ","",HYPERLINK("mailto:"&amp;BudgetsTable[[#This Row],[pi_email]]&amp;"&amp;subject=Your NSF Proposal:  "&amp;BudgetsTable[[#This Row],[prop_id]],BudgetsTable[[#This Row],[pi_email]]))</f>
        <v/>
      </c>
      <c r="P59" s="128" t="s">
        <v>13</v>
      </c>
      <c r="Q59" s="128">
        <v>2</v>
      </c>
      <c r="R59" s="128">
        <v>0.92</v>
      </c>
      <c r="S59" s="129">
        <v>90745</v>
      </c>
      <c r="T59" s="129">
        <v>15000</v>
      </c>
      <c r="U59" s="129">
        <v>0</v>
      </c>
      <c r="V59" s="130">
        <v>300000</v>
      </c>
      <c r="W59" s="128">
        <v>0</v>
      </c>
      <c r="X59" s="128">
        <v>3</v>
      </c>
      <c r="Y59" s="131" t="str">
        <f ca="1">IF(ISBLANK(BudgetsTable[[#This Row],[budg_seq_yr]]),"FY"&amp;fiscalyear,"FY"&amp;fiscalyear-1+BudgetsTable[[#This Row],[budg_seq_yr]])</f>
        <v>FY20</v>
      </c>
      <c r="Z59" s="129">
        <v>300000</v>
      </c>
      <c r="AA59" s="128" t="s">
        <v>741</v>
      </c>
      <c r="AB59" s="128" t="s">
        <v>901</v>
      </c>
      <c r="AC59" s="126" t="s">
        <v>94</v>
      </c>
      <c r="AD59" s="128" t="s">
        <v>1968</v>
      </c>
    </row>
    <row r="60" spans="1:30">
      <c r="A60" s="125" t="s">
        <v>2045</v>
      </c>
      <c r="B60" s="126" t="s">
        <v>1989</v>
      </c>
      <c r="C60" s="126">
        <f>C59+(BudgetsTable[[#This Row],[lead]]&lt;&gt;K59)</f>
        <v>18</v>
      </c>
      <c r="D60" s="126">
        <f>D59*(BudgetsTable[[#This Row],[lead]]=K59)+(BudgetsTable[[#This Row],[prop_id]]&lt;&gt;A59)</f>
        <v>2</v>
      </c>
      <c r="E60" s="127">
        <v>42808.474999999999</v>
      </c>
      <c r="F60" s="128" t="s">
        <v>1965</v>
      </c>
      <c r="G60" s="128" t="s">
        <v>741</v>
      </c>
      <c r="H60" s="128" t="s">
        <v>901</v>
      </c>
      <c r="I60" s="126" t="s">
        <v>948</v>
      </c>
      <c r="J60" s="126" t="s">
        <v>2050</v>
      </c>
      <c r="K60" s="128" t="s">
        <v>1041</v>
      </c>
      <c r="L60" s="7" t="str">
        <f>IF(BudgetsTable[[#This Row],[pi_last_name]]=" ","",HYPERLINK("https://www.ejacket.nsf.gov/ej/showProposal.do?Continue=Y&amp;ID="&amp;BudgetsTable[[#This Row],[prop_id]],BudgetsTable[[#This Row],[prop_id]]))</f>
        <v>1740638</v>
      </c>
      <c r="M60" s="15" t="str">
        <f>IF(BudgetsTable[[#This Row],[pi_last_name]]=" ","",HYPERLINK("https://www.ejacket.nsf.gov/ej/processReviewAnalysis.do?dispatch=add&amp;uniqId="&amp;BudgetsTable[[#This Row],[prop_id]]&amp;PO_id,"&gt;ra"))</f>
        <v>&gt;ra</v>
      </c>
      <c r="N60" s="128" t="s">
        <v>2046</v>
      </c>
      <c r="O60" s="7" t="str">
        <f>IF(BudgetsTable[[#This Row],[pi_last_name]]=" ","",HYPERLINK("mailto:"&amp;BudgetsTable[[#This Row],[pi_email]]&amp;"&amp;subject=Your NSF Proposal:  "&amp;BudgetsTable[[#This Row],[prop_id]],BudgetsTable[[#This Row],[pi_email]]))</f>
        <v>ipsen@ncsu.edu</v>
      </c>
      <c r="P60" s="128" t="s">
        <v>2048</v>
      </c>
      <c r="Q60" s="128"/>
      <c r="R60" s="128"/>
      <c r="S60" s="129"/>
      <c r="T60" s="129"/>
      <c r="U60" s="129"/>
      <c r="V60" s="130"/>
      <c r="W60" s="128">
        <v>0</v>
      </c>
      <c r="X60" s="128"/>
      <c r="Y60" s="131" t="str">
        <f ca="1">IF(ISBLANK(BudgetsTable[[#This Row],[budg_seq_yr]]),"FY"&amp;fiscalyear,"FY"&amp;fiscalyear-1+BudgetsTable[[#This Row],[budg_seq_yr]])</f>
        <v>FY18</v>
      </c>
      <c r="Z60" s="129">
        <v>180000</v>
      </c>
      <c r="AA60" s="128" t="s">
        <v>741</v>
      </c>
      <c r="AB60" s="128" t="s">
        <v>901</v>
      </c>
      <c r="AC60" s="126" t="s">
        <v>94</v>
      </c>
      <c r="AD60" s="128" t="s">
        <v>1968</v>
      </c>
    </row>
    <row r="61" spans="1:30">
      <c r="A61" s="125" t="s">
        <v>2045</v>
      </c>
      <c r="B61" s="126" t="s">
        <v>1989</v>
      </c>
      <c r="C61" s="126">
        <f>C60+(BudgetsTable[[#This Row],[lead]]&lt;&gt;K60)</f>
        <v>18</v>
      </c>
      <c r="D61" s="126">
        <f>D60*(BudgetsTable[[#This Row],[lead]]=K60)+(BudgetsTable[[#This Row],[prop_id]]&lt;&gt;A60)</f>
        <v>2</v>
      </c>
      <c r="E61" s="127">
        <v>42808.474999999999</v>
      </c>
      <c r="F61" s="128" t="s">
        <v>1965</v>
      </c>
      <c r="G61" s="128" t="s">
        <v>741</v>
      </c>
      <c r="H61" s="128" t="s">
        <v>901</v>
      </c>
      <c r="I61" s="126" t="s">
        <v>948</v>
      </c>
      <c r="J61" s="126" t="s">
        <v>13</v>
      </c>
      <c r="K61" s="128" t="s">
        <v>1041</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128" t="s">
        <v>13</v>
      </c>
      <c r="O61" s="7" t="str">
        <f>IF(BudgetsTable[[#This Row],[pi_last_name]]=" ","",HYPERLINK("mailto:"&amp;BudgetsTable[[#This Row],[pi_email]]&amp;"&amp;subject=Your NSF Proposal:  "&amp;BudgetsTable[[#This Row],[prop_id]],BudgetsTable[[#This Row],[pi_email]]))</f>
        <v/>
      </c>
      <c r="P61" s="128" t="s">
        <v>13</v>
      </c>
      <c r="Q61" s="128">
        <v>1</v>
      </c>
      <c r="R61" s="128">
        <v>1.29</v>
      </c>
      <c r="S61" s="129">
        <v>0</v>
      </c>
      <c r="T61" s="129">
        <v>7744</v>
      </c>
      <c r="U61" s="129">
        <v>0</v>
      </c>
      <c r="V61" s="130">
        <v>60000</v>
      </c>
      <c r="W61" s="128">
        <v>0</v>
      </c>
      <c r="X61" s="128">
        <v>1</v>
      </c>
      <c r="Y61" s="131" t="str">
        <f ca="1">IF(ISBLANK(BudgetsTable[[#This Row],[budg_seq_yr]]),"FY"&amp;fiscalyear,"FY"&amp;fiscalyear-1+BudgetsTable[[#This Row],[budg_seq_yr]])</f>
        <v>FY18</v>
      </c>
      <c r="Z61" s="129">
        <v>60000</v>
      </c>
      <c r="AA61" s="128" t="s">
        <v>741</v>
      </c>
      <c r="AB61" s="128" t="s">
        <v>901</v>
      </c>
      <c r="AC61" s="126" t="s">
        <v>94</v>
      </c>
      <c r="AD61" s="128" t="s">
        <v>1968</v>
      </c>
    </row>
    <row r="62" spans="1:30">
      <c r="A62" s="125" t="s">
        <v>2045</v>
      </c>
      <c r="B62" s="126" t="s">
        <v>1989</v>
      </c>
      <c r="C62" s="126">
        <f>C61+(BudgetsTable[[#This Row],[lead]]&lt;&gt;K61)</f>
        <v>18</v>
      </c>
      <c r="D62" s="126">
        <f>D61*(BudgetsTable[[#This Row],[lead]]=K61)+(BudgetsTable[[#This Row],[prop_id]]&lt;&gt;A61)</f>
        <v>2</v>
      </c>
      <c r="E62" s="127">
        <v>42808.474999999999</v>
      </c>
      <c r="F62" s="128" t="s">
        <v>1965</v>
      </c>
      <c r="G62" s="128" t="s">
        <v>741</v>
      </c>
      <c r="H62" s="128" t="s">
        <v>901</v>
      </c>
      <c r="I62" s="126" t="s">
        <v>948</v>
      </c>
      <c r="J62" s="126" t="s">
        <v>13</v>
      </c>
      <c r="K62" s="128" t="s">
        <v>1041</v>
      </c>
      <c r="L62" s="7" t="str">
        <f>IF(BudgetsTable[[#This Row],[pi_last_name]]=" ","",HYPERLINK("https://www.ejacket.nsf.gov/ej/showProposal.do?Continue=Y&amp;ID="&amp;BudgetsTable[[#This Row],[prop_id]],BudgetsTable[[#This Row],[prop_id]]))</f>
        <v/>
      </c>
      <c r="M62" s="15" t="str">
        <f>IF(BudgetsTable[[#This Row],[pi_last_name]]=" ","",HYPERLINK("https://www.ejacket.nsf.gov/ej/processReviewAnalysis.do?dispatch=add&amp;uniqId="&amp;BudgetsTable[[#This Row],[prop_id]]&amp;PO_id,"&gt;ra"))</f>
        <v/>
      </c>
      <c r="N62" s="128" t="s">
        <v>13</v>
      </c>
      <c r="O62" s="7" t="str">
        <f>IF(BudgetsTable[[#This Row],[pi_last_name]]=" ","",HYPERLINK("mailto:"&amp;BudgetsTable[[#This Row],[pi_email]]&amp;"&amp;subject=Your NSF Proposal:  "&amp;BudgetsTable[[#This Row],[prop_id]],BudgetsTable[[#This Row],[pi_email]]))</f>
        <v/>
      </c>
      <c r="P62" s="128" t="s">
        <v>13</v>
      </c>
      <c r="Q62" s="128">
        <v>1</v>
      </c>
      <c r="R62" s="128">
        <v>1.29</v>
      </c>
      <c r="S62" s="129">
        <v>0</v>
      </c>
      <c r="T62" s="129">
        <v>7037</v>
      </c>
      <c r="U62" s="129">
        <v>0</v>
      </c>
      <c r="V62" s="130">
        <v>60000</v>
      </c>
      <c r="W62" s="128">
        <v>0</v>
      </c>
      <c r="X62" s="128">
        <v>2</v>
      </c>
      <c r="Y62" s="131" t="str">
        <f ca="1">IF(ISBLANK(BudgetsTable[[#This Row],[budg_seq_yr]]),"FY"&amp;fiscalyear,"FY"&amp;fiscalyear-1+BudgetsTable[[#This Row],[budg_seq_yr]])</f>
        <v>FY19</v>
      </c>
      <c r="Z62" s="129">
        <v>60000</v>
      </c>
      <c r="AA62" s="128" t="s">
        <v>741</v>
      </c>
      <c r="AB62" s="128" t="s">
        <v>901</v>
      </c>
      <c r="AC62" s="126" t="s">
        <v>94</v>
      </c>
      <c r="AD62" s="128" t="s">
        <v>1968</v>
      </c>
    </row>
    <row r="63" spans="1:30">
      <c r="A63" s="125" t="s">
        <v>2045</v>
      </c>
      <c r="B63" s="126" t="s">
        <v>1989</v>
      </c>
      <c r="C63" s="126">
        <f>C62+(BudgetsTable[[#This Row],[lead]]&lt;&gt;K62)</f>
        <v>18</v>
      </c>
      <c r="D63" s="126">
        <f>D62*(BudgetsTable[[#This Row],[lead]]=K62)+(BudgetsTable[[#This Row],[prop_id]]&lt;&gt;A62)</f>
        <v>2</v>
      </c>
      <c r="E63" s="127">
        <v>42808.474999999999</v>
      </c>
      <c r="F63" s="128" t="s">
        <v>1965</v>
      </c>
      <c r="G63" s="128" t="s">
        <v>741</v>
      </c>
      <c r="H63" s="128" t="s">
        <v>901</v>
      </c>
      <c r="I63" s="126" t="s">
        <v>948</v>
      </c>
      <c r="J63" s="126" t="s">
        <v>13</v>
      </c>
      <c r="K63" s="128" t="s">
        <v>1041</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128" t="s">
        <v>13</v>
      </c>
      <c r="O63" s="7" t="str">
        <f>IF(BudgetsTable[[#This Row],[pi_last_name]]=" ","",HYPERLINK("mailto:"&amp;BudgetsTable[[#This Row],[pi_email]]&amp;"&amp;subject=Your NSF Proposal:  "&amp;BudgetsTable[[#This Row],[prop_id]],BudgetsTable[[#This Row],[pi_email]]))</f>
        <v/>
      </c>
      <c r="P63" s="128" t="s">
        <v>13</v>
      </c>
      <c r="Q63" s="128">
        <v>1</v>
      </c>
      <c r="R63" s="128">
        <v>1.29</v>
      </c>
      <c r="S63" s="129">
        <v>0</v>
      </c>
      <c r="T63" s="129">
        <v>6310</v>
      </c>
      <c r="U63" s="129">
        <v>0</v>
      </c>
      <c r="V63" s="130">
        <v>60000</v>
      </c>
      <c r="W63" s="128">
        <v>0</v>
      </c>
      <c r="X63" s="128">
        <v>3</v>
      </c>
      <c r="Y63" s="131" t="str">
        <f ca="1">IF(ISBLANK(BudgetsTable[[#This Row],[budg_seq_yr]]),"FY"&amp;fiscalyear,"FY"&amp;fiscalyear-1+BudgetsTable[[#This Row],[budg_seq_yr]])</f>
        <v>FY20</v>
      </c>
      <c r="Z63" s="129">
        <v>60000</v>
      </c>
      <c r="AA63" s="128" t="s">
        <v>741</v>
      </c>
      <c r="AB63" s="128" t="s">
        <v>901</v>
      </c>
      <c r="AC63" s="126" t="s">
        <v>94</v>
      </c>
      <c r="AD63" s="128" t="s">
        <v>1968</v>
      </c>
    </row>
    <row r="64" spans="1:30">
      <c r="A64" s="125" t="s">
        <v>2051</v>
      </c>
      <c r="B64" s="126" t="s">
        <v>1989</v>
      </c>
      <c r="C64" s="126">
        <f>C63+(BudgetsTable[[#This Row],[lead]]&lt;&gt;K63)</f>
        <v>18</v>
      </c>
      <c r="D64" s="126">
        <f>D63*(BudgetsTable[[#This Row],[lead]]=K63)+(BudgetsTable[[#This Row],[prop_id]]&lt;&gt;A63)</f>
        <v>3</v>
      </c>
      <c r="E64" s="127">
        <v>42808.71597222222</v>
      </c>
      <c r="F64" s="128" t="s">
        <v>1965</v>
      </c>
      <c r="G64" s="128" t="s">
        <v>741</v>
      </c>
      <c r="H64" s="128" t="s">
        <v>901</v>
      </c>
      <c r="I64" s="126" t="s">
        <v>948</v>
      </c>
      <c r="J64" s="126" t="s">
        <v>2054</v>
      </c>
      <c r="K64" s="128" t="s">
        <v>1041</v>
      </c>
      <c r="L64" s="7" t="str">
        <f>IF(BudgetsTable[[#This Row],[pi_last_name]]=" ","",HYPERLINK("https://www.ejacket.nsf.gov/ej/showProposal.do?Continue=Y&amp;ID="&amp;BudgetsTable[[#This Row],[prop_id]],BudgetsTable[[#This Row],[prop_id]]))</f>
        <v>1740709</v>
      </c>
      <c r="M64" s="15" t="str">
        <f>IF(BudgetsTable[[#This Row],[pi_last_name]]=" ","",HYPERLINK("https://www.ejacket.nsf.gov/ej/processReviewAnalysis.do?dispatch=add&amp;uniqId="&amp;BudgetsTable[[#This Row],[prop_id]]&amp;PO_id,"&gt;ra"))</f>
        <v>&gt;ra</v>
      </c>
      <c r="N64" s="128" t="s">
        <v>2052</v>
      </c>
      <c r="O64" s="7" t="str">
        <f>IF(BudgetsTable[[#This Row],[pi_last_name]]=" ","",HYPERLINK("mailto:"&amp;BudgetsTable[[#This Row],[pi_email]]&amp;"&amp;subject=Your NSF Proposal:  "&amp;BudgetsTable[[#This Row],[prop_id]],BudgetsTable[[#This Row],[pi_email]]))</f>
        <v>ymb@uiuc.edu</v>
      </c>
      <c r="P64" s="128" t="s">
        <v>339</v>
      </c>
      <c r="Q64" s="128"/>
      <c r="R64" s="128"/>
      <c r="S64" s="129"/>
      <c r="T64" s="129"/>
      <c r="U64" s="129"/>
      <c r="V64" s="130"/>
      <c r="W64" s="128">
        <v>0</v>
      </c>
      <c r="X64" s="128"/>
      <c r="Y64" s="131" t="str">
        <f ca="1">IF(ISBLANK(BudgetsTable[[#This Row],[budg_seq_yr]]),"FY"&amp;fiscalyear,"FY"&amp;fiscalyear-1+BudgetsTable[[#This Row],[budg_seq_yr]])</f>
        <v>FY18</v>
      </c>
      <c r="Z64" s="129">
        <v>270000</v>
      </c>
      <c r="AA64" s="128" t="s">
        <v>741</v>
      </c>
      <c r="AB64" s="128" t="s">
        <v>901</v>
      </c>
      <c r="AC64" s="126" t="s">
        <v>94</v>
      </c>
      <c r="AD64" s="128" t="s">
        <v>1968</v>
      </c>
    </row>
    <row r="65" spans="1:30">
      <c r="A65" s="125" t="s">
        <v>2051</v>
      </c>
      <c r="B65" s="126" t="s">
        <v>1989</v>
      </c>
      <c r="C65" s="126">
        <f>C64+(BudgetsTable[[#This Row],[lead]]&lt;&gt;K64)</f>
        <v>18</v>
      </c>
      <c r="D65" s="126">
        <f>D64*(BudgetsTable[[#This Row],[lead]]=K64)+(BudgetsTable[[#This Row],[prop_id]]&lt;&gt;A64)</f>
        <v>3</v>
      </c>
      <c r="E65" s="127">
        <v>42808.71597222222</v>
      </c>
      <c r="F65" s="128" t="s">
        <v>1965</v>
      </c>
      <c r="G65" s="128" t="s">
        <v>741</v>
      </c>
      <c r="H65" s="128" t="s">
        <v>901</v>
      </c>
      <c r="I65" s="126" t="s">
        <v>948</v>
      </c>
      <c r="J65" s="126" t="s">
        <v>13</v>
      </c>
      <c r="K65" s="128" t="s">
        <v>1041</v>
      </c>
      <c r="L65" s="7" t="str">
        <f>IF(BudgetsTable[[#This Row],[pi_last_name]]=" ","",HYPERLINK("https://www.ejacket.nsf.gov/ej/showProposal.do?Continue=Y&amp;ID="&amp;BudgetsTable[[#This Row],[prop_id]],BudgetsTable[[#This Row],[prop_id]]))</f>
        <v/>
      </c>
      <c r="M65" s="15" t="str">
        <f>IF(BudgetsTable[[#This Row],[pi_last_name]]=" ","",HYPERLINK("https://www.ejacket.nsf.gov/ej/processReviewAnalysis.do?dispatch=add&amp;uniqId="&amp;BudgetsTable[[#This Row],[prop_id]]&amp;PO_id,"&gt;ra"))</f>
        <v/>
      </c>
      <c r="N65" s="128" t="s">
        <v>13</v>
      </c>
      <c r="O65" s="7" t="str">
        <f>IF(BudgetsTable[[#This Row],[pi_last_name]]=" ","",HYPERLINK("mailto:"&amp;BudgetsTable[[#This Row],[pi_email]]&amp;"&amp;subject=Your NSF Proposal:  "&amp;BudgetsTable[[#This Row],[prop_id]],BudgetsTable[[#This Row],[pi_email]]))</f>
        <v/>
      </c>
      <c r="P65" s="128" t="s">
        <v>13</v>
      </c>
      <c r="Q65" s="128">
        <v>1</v>
      </c>
      <c r="R65" s="128">
        <v>0.33</v>
      </c>
      <c r="S65" s="129">
        <v>0</v>
      </c>
      <c r="T65" s="129">
        <v>6000</v>
      </c>
      <c r="U65" s="129">
        <v>0</v>
      </c>
      <c r="V65" s="130">
        <v>90000</v>
      </c>
      <c r="W65" s="128">
        <v>0</v>
      </c>
      <c r="X65" s="128">
        <v>1</v>
      </c>
      <c r="Y65" s="131" t="str">
        <f ca="1">IF(ISBLANK(BudgetsTable[[#This Row],[budg_seq_yr]]),"FY"&amp;fiscalyear,"FY"&amp;fiscalyear-1+BudgetsTable[[#This Row],[budg_seq_yr]])</f>
        <v>FY18</v>
      </c>
      <c r="Z65" s="129">
        <v>90000</v>
      </c>
      <c r="AA65" s="128" t="s">
        <v>741</v>
      </c>
      <c r="AB65" s="128" t="s">
        <v>901</v>
      </c>
      <c r="AC65" s="126" t="s">
        <v>94</v>
      </c>
      <c r="AD65" s="128" t="s">
        <v>1968</v>
      </c>
    </row>
    <row r="66" spans="1:30">
      <c r="A66" s="125" t="s">
        <v>2051</v>
      </c>
      <c r="B66" s="126" t="s">
        <v>1989</v>
      </c>
      <c r="C66" s="126">
        <f>C65+(BudgetsTable[[#This Row],[lead]]&lt;&gt;K65)</f>
        <v>18</v>
      </c>
      <c r="D66" s="126">
        <f>D65*(BudgetsTable[[#This Row],[lead]]=K65)+(BudgetsTable[[#This Row],[prop_id]]&lt;&gt;A65)</f>
        <v>3</v>
      </c>
      <c r="E66" s="127">
        <v>42808.71597222222</v>
      </c>
      <c r="F66" s="128" t="s">
        <v>1965</v>
      </c>
      <c r="G66" s="128" t="s">
        <v>741</v>
      </c>
      <c r="H66" s="128" t="s">
        <v>901</v>
      </c>
      <c r="I66" s="126" t="s">
        <v>948</v>
      </c>
      <c r="J66" s="126" t="s">
        <v>13</v>
      </c>
      <c r="K66" s="128" t="s">
        <v>1041</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128" t="s">
        <v>13</v>
      </c>
      <c r="O66" s="7" t="str">
        <f>IF(BudgetsTable[[#This Row],[pi_last_name]]=" ","",HYPERLINK("mailto:"&amp;BudgetsTable[[#This Row],[pi_email]]&amp;"&amp;subject=Your NSF Proposal:  "&amp;BudgetsTable[[#This Row],[prop_id]],BudgetsTable[[#This Row],[pi_email]]))</f>
        <v/>
      </c>
      <c r="P66" s="128" t="s">
        <v>13</v>
      </c>
      <c r="Q66" s="128">
        <v>1</v>
      </c>
      <c r="R66" s="128">
        <v>0.3</v>
      </c>
      <c r="S66" s="129">
        <v>0</v>
      </c>
      <c r="T66" s="129">
        <v>6000</v>
      </c>
      <c r="U66" s="129">
        <v>0</v>
      </c>
      <c r="V66" s="130">
        <v>90000</v>
      </c>
      <c r="W66" s="128">
        <v>0</v>
      </c>
      <c r="X66" s="128">
        <v>2</v>
      </c>
      <c r="Y66" s="131" t="str">
        <f ca="1">IF(ISBLANK(BudgetsTable[[#This Row],[budg_seq_yr]]),"FY"&amp;fiscalyear,"FY"&amp;fiscalyear-1+BudgetsTable[[#This Row],[budg_seq_yr]])</f>
        <v>FY19</v>
      </c>
      <c r="Z66" s="129">
        <v>90000</v>
      </c>
      <c r="AA66" s="128" t="s">
        <v>741</v>
      </c>
      <c r="AB66" s="128" t="s">
        <v>901</v>
      </c>
      <c r="AC66" s="126" t="s">
        <v>94</v>
      </c>
      <c r="AD66" s="128" t="s">
        <v>1968</v>
      </c>
    </row>
    <row r="67" spans="1:30">
      <c r="A67" s="125" t="s">
        <v>2051</v>
      </c>
      <c r="B67" s="126" t="s">
        <v>1989</v>
      </c>
      <c r="C67" s="126">
        <f>C66+(BudgetsTable[[#This Row],[lead]]&lt;&gt;K66)</f>
        <v>18</v>
      </c>
      <c r="D67" s="126">
        <f>D66*(BudgetsTable[[#This Row],[lead]]=K66)+(BudgetsTable[[#This Row],[prop_id]]&lt;&gt;A66)</f>
        <v>3</v>
      </c>
      <c r="E67" s="127">
        <v>42808.71597222222</v>
      </c>
      <c r="F67" s="128" t="s">
        <v>1965</v>
      </c>
      <c r="G67" s="128" t="s">
        <v>741</v>
      </c>
      <c r="H67" s="128" t="s">
        <v>901</v>
      </c>
      <c r="I67" s="126" t="s">
        <v>948</v>
      </c>
      <c r="J67" s="126" t="s">
        <v>13</v>
      </c>
      <c r="K67" s="128" t="s">
        <v>1041</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128" t="s">
        <v>13</v>
      </c>
      <c r="O67" s="7" t="str">
        <f>IF(BudgetsTable[[#This Row],[pi_last_name]]=" ","",HYPERLINK("mailto:"&amp;BudgetsTable[[#This Row],[pi_email]]&amp;"&amp;subject=Your NSF Proposal:  "&amp;BudgetsTable[[#This Row],[prop_id]],BudgetsTable[[#This Row],[pi_email]]))</f>
        <v/>
      </c>
      <c r="P67" s="128" t="s">
        <v>13</v>
      </c>
      <c r="Q67" s="128">
        <v>1</v>
      </c>
      <c r="R67" s="128">
        <v>0.26</v>
      </c>
      <c r="S67" s="129">
        <v>0</v>
      </c>
      <c r="T67" s="129">
        <v>6000</v>
      </c>
      <c r="U67" s="129">
        <v>0</v>
      </c>
      <c r="V67" s="130">
        <v>90000</v>
      </c>
      <c r="W67" s="128">
        <v>0</v>
      </c>
      <c r="X67" s="128">
        <v>3</v>
      </c>
      <c r="Y67" s="131" t="str">
        <f ca="1">IF(ISBLANK(BudgetsTable[[#This Row],[budg_seq_yr]]),"FY"&amp;fiscalyear,"FY"&amp;fiscalyear-1+BudgetsTable[[#This Row],[budg_seq_yr]])</f>
        <v>FY20</v>
      </c>
      <c r="Z67" s="129">
        <v>90000</v>
      </c>
      <c r="AA67" s="128" t="s">
        <v>741</v>
      </c>
      <c r="AB67" s="128" t="s">
        <v>901</v>
      </c>
      <c r="AC67" s="126" t="s">
        <v>94</v>
      </c>
      <c r="AD67" s="128" t="s">
        <v>1968</v>
      </c>
    </row>
    <row r="68" spans="1:30">
      <c r="A68" s="125" t="s">
        <v>2055</v>
      </c>
      <c r="B68" s="126" t="s">
        <v>1989</v>
      </c>
      <c r="C68" s="126">
        <f>C67+(BudgetsTable[[#This Row],[lead]]&lt;&gt;K67)</f>
        <v>18</v>
      </c>
      <c r="D68" s="126">
        <f>D67*(BudgetsTable[[#This Row],[lead]]=K67)+(BudgetsTable[[#This Row],[prop_id]]&lt;&gt;A67)</f>
        <v>4</v>
      </c>
      <c r="E68" s="127">
        <v>42808.71875</v>
      </c>
      <c r="F68" s="128" t="s">
        <v>1965</v>
      </c>
      <c r="G68" s="128" t="s">
        <v>741</v>
      </c>
      <c r="H68" s="128" t="s">
        <v>901</v>
      </c>
      <c r="I68" s="126" t="s">
        <v>948</v>
      </c>
      <c r="J68" s="126" t="s">
        <v>2060</v>
      </c>
      <c r="K68" s="128" t="s">
        <v>1041</v>
      </c>
      <c r="L68" s="7" t="str">
        <f>IF(BudgetsTable[[#This Row],[pi_last_name]]=" ","",HYPERLINK("https://www.ejacket.nsf.gov/ej/showProposal.do?Continue=Y&amp;ID="&amp;BudgetsTable[[#This Row],[prop_id]],BudgetsTable[[#This Row],[prop_id]]))</f>
        <v>1740710</v>
      </c>
      <c r="M68" s="15" t="str">
        <f>IF(BudgetsTable[[#This Row],[pi_last_name]]=" ","",HYPERLINK("https://www.ejacket.nsf.gov/ej/processReviewAnalysis.do?dispatch=add&amp;uniqId="&amp;BudgetsTable[[#This Row],[prop_id]]&amp;PO_id,"&gt;ra"))</f>
        <v>&gt;ra</v>
      </c>
      <c r="N68" s="128" t="s">
        <v>2056</v>
      </c>
      <c r="O68" s="7" t="str">
        <f>IF(BudgetsTable[[#This Row],[pi_last_name]]=" ","",HYPERLINK("mailto:"&amp;BudgetsTable[[#This Row],[pi_email]]&amp;"&amp;subject=Your NSF Proposal:  "&amp;BudgetsTable[[#This Row],[prop_id]],BudgetsTable[[#This Row],[pi_email]]))</f>
        <v>risi@cs.uchicago.edu</v>
      </c>
      <c r="P68" s="128" t="s">
        <v>2058</v>
      </c>
      <c r="Q68" s="128"/>
      <c r="R68" s="128"/>
      <c r="S68" s="129"/>
      <c r="T68" s="129"/>
      <c r="U68" s="129"/>
      <c r="V68" s="130"/>
      <c r="W68" s="128">
        <v>0</v>
      </c>
      <c r="X68" s="128"/>
      <c r="Y68" s="131" t="str">
        <f ca="1">IF(ISBLANK(BudgetsTable[[#This Row],[budg_seq_yr]]),"FY"&amp;fiscalyear,"FY"&amp;fiscalyear-1+BudgetsTable[[#This Row],[budg_seq_yr]])</f>
        <v>FY18</v>
      </c>
      <c r="Z68" s="129">
        <v>150000</v>
      </c>
      <c r="AA68" s="128" t="s">
        <v>741</v>
      </c>
      <c r="AB68" s="128" t="s">
        <v>901</v>
      </c>
      <c r="AC68" s="126" t="s">
        <v>94</v>
      </c>
      <c r="AD68" s="128" t="s">
        <v>1968</v>
      </c>
    </row>
    <row r="69" spans="1:30">
      <c r="A69" s="125" t="s">
        <v>2055</v>
      </c>
      <c r="B69" s="126" t="s">
        <v>1989</v>
      </c>
      <c r="C69" s="126">
        <f>C68+(BudgetsTable[[#This Row],[lead]]&lt;&gt;K68)</f>
        <v>18</v>
      </c>
      <c r="D69" s="126">
        <f>D68*(BudgetsTable[[#This Row],[lead]]=K68)+(BudgetsTable[[#This Row],[prop_id]]&lt;&gt;A68)</f>
        <v>4</v>
      </c>
      <c r="E69" s="127">
        <v>42808.71875</v>
      </c>
      <c r="F69" s="128" t="s">
        <v>1965</v>
      </c>
      <c r="G69" s="128" t="s">
        <v>741</v>
      </c>
      <c r="H69" s="128" t="s">
        <v>901</v>
      </c>
      <c r="I69" s="126" t="s">
        <v>948</v>
      </c>
      <c r="J69" s="126" t="s">
        <v>13</v>
      </c>
      <c r="K69" s="128" t="s">
        <v>1041</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128" t="s">
        <v>13</v>
      </c>
      <c r="O69" s="7" t="str">
        <f>IF(BudgetsTable[[#This Row],[pi_last_name]]=" ","",HYPERLINK("mailto:"&amp;BudgetsTable[[#This Row],[pi_email]]&amp;"&amp;subject=Your NSF Proposal:  "&amp;BudgetsTable[[#This Row],[prop_id]],BudgetsTable[[#This Row],[pi_email]]))</f>
        <v/>
      </c>
      <c r="P69" s="128" t="s">
        <v>13</v>
      </c>
      <c r="Q69" s="128">
        <v>1</v>
      </c>
      <c r="R69" s="128">
        <v>1</v>
      </c>
      <c r="S69" s="129">
        <v>0</v>
      </c>
      <c r="T69" s="129">
        <v>0</v>
      </c>
      <c r="U69" s="129">
        <v>0</v>
      </c>
      <c r="V69" s="130">
        <v>50000</v>
      </c>
      <c r="W69" s="128">
        <v>0</v>
      </c>
      <c r="X69" s="128">
        <v>1</v>
      </c>
      <c r="Y69" s="131" t="str">
        <f ca="1">IF(ISBLANK(BudgetsTable[[#This Row],[budg_seq_yr]]),"FY"&amp;fiscalyear,"FY"&amp;fiscalyear-1+BudgetsTable[[#This Row],[budg_seq_yr]])</f>
        <v>FY18</v>
      </c>
      <c r="Z69" s="129">
        <v>50000</v>
      </c>
      <c r="AA69" s="128" t="s">
        <v>741</v>
      </c>
      <c r="AB69" s="128" t="s">
        <v>901</v>
      </c>
      <c r="AC69" s="126" t="s">
        <v>94</v>
      </c>
      <c r="AD69" s="128" t="s">
        <v>1968</v>
      </c>
    </row>
    <row r="70" spans="1:30">
      <c r="A70" s="125" t="s">
        <v>2055</v>
      </c>
      <c r="B70" s="126" t="s">
        <v>1989</v>
      </c>
      <c r="C70" s="126">
        <f>C69+(BudgetsTable[[#This Row],[lead]]&lt;&gt;K69)</f>
        <v>18</v>
      </c>
      <c r="D70" s="126">
        <f>D69*(BudgetsTable[[#This Row],[lead]]=K69)+(BudgetsTable[[#This Row],[prop_id]]&lt;&gt;A69)</f>
        <v>4</v>
      </c>
      <c r="E70" s="127">
        <v>42808.71875</v>
      </c>
      <c r="F70" s="128" t="s">
        <v>1965</v>
      </c>
      <c r="G70" s="128" t="s">
        <v>741</v>
      </c>
      <c r="H70" s="128" t="s">
        <v>901</v>
      </c>
      <c r="I70" s="126" t="s">
        <v>948</v>
      </c>
      <c r="J70" s="126" t="s">
        <v>13</v>
      </c>
      <c r="K70" s="128" t="s">
        <v>1041</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128" t="s">
        <v>13</v>
      </c>
      <c r="O70" s="7" t="str">
        <f>IF(BudgetsTable[[#This Row],[pi_last_name]]=" ","",HYPERLINK("mailto:"&amp;BudgetsTable[[#This Row],[pi_email]]&amp;"&amp;subject=Your NSF Proposal:  "&amp;BudgetsTable[[#This Row],[prop_id]],BudgetsTable[[#This Row],[pi_email]]))</f>
        <v/>
      </c>
      <c r="P70" s="128" t="s">
        <v>13</v>
      </c>
      <c r="Q70" s="128">
        <v>1</v>
      </c>
      <c r="R70" s="128">
        <v>1</v>
      </c>
      <c r="S70" s="129">
        <v>0</v>
      </c>
      <c r="T70" s="129">
        <v>0</v>
      </c>
      <c r="U70" s="129">
        <v>0</v>
      </c>
      <c r="V70" s="130">
        <v>50000</v>
      </c>
      <c r="W70" s="128">
        <v>0</v>
      </c>
      <c r="X70" s="128">
        <v>2</v>
      </c>
      <c r="Y70" s="131" t="str">
        <f ca="1">IF(ISBLANK(BudgetsTable[[#This Row],[budg_seq_yr]]),"FY"&amp;fiscalyear,"FY"&amp;fiscalyear-1+BudgetsTable[[#This Row],[budg_seq_yr]])</f>
        <v>FY19</v>
      </c>
      <c r="Z70" s="129">
        <v>50000</v>
      </c>
      <c r="AA70" s="128" t="s">
        <v>741</v>
      </c>
      <c r="AB70" s="128" t="s">
        <v>901</v>
      </c>
      <c r="AC70" s="126" t="s">
        <v>94</v>
      </c>
      <c r="AD70" s="128" t="s">
        <v>1968</v>
      </c>
    </row>
    <row r="71" spans="1:30">
      <c r="A71" s="125" t="s">
        <v>2055</v>
      </c>
      <c r="B71" s="126" t="s">
        <v>1989</v>
      </c>
      <c r="C71" s="126">
        <f>C70+(BudgetsTable[[#This Row],[lead]]&lt;&gt;K70)</f>
        <v>18</v>
      </c>
      <c r="D71" s="126">
        <f>D70*(BudgetsTable[[#This Row],[lead]]=K70)+(BudgetsTable[[#This Row],[prop_id]]&lt;&gt;A70)</f>
        <v>4</v>
      </c>
      <c r="E71" s="127">
        <v>42808.71875</v>
      </c>
      <c r="F71" s="128" t="s">
        <v>1965</v>
      </c>
      <c r="G71" s="128" t="s">
        <v>741</v>
      </c>
      <c r="H71" s="128" t="s">
        <v>901</v>
      </c>
      <c r="I71" s="126" t="s">
        <v>948</v>
      </c>
      <c r="J71" s="126" t="s">
        <v>13</v>
      </c>
      <c r="K71" s="128" t="s">
        <v>1041</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128" t="s">
        <v>13</v>
      </c>
      <c r="O71" s="7" t="str">
        <f>IF(BudgetsTable[[#This Row],[pi_last_name]]=" ","",HYPERLINK("mailto:"&amp;BudgetsTable[[#This Row],[pi_email]]&amp;"&amp;subject=Your NSF Proposal:  "&amp;BudgetsTable[[#This Row],[prop_id]],BudgetsTable[[#This Row],[pi_email]]))</f>
        <v/>
      </c>
      <c r="P71" s="128" t="s">
        <v>13</v>
      </c>
      <c r="Q71" s="128">
        <v>1</v>
      </c>
      <c r="R71" s="128">
        <v>1</v>
      </c>
      <c r="S71" s="129">
        <v>0</v>
      </c>
      <c r="T71" s="129">
        <v>0</v>
      </c>
      <c r="U71" s="129">
        <v>0</v>
      </c>
      <c r="V71" s="130">
        <v>50000</v>
      </c>
      <c r="W71" s="128">
        <v>0</v>
      </c>
      <c r="X71" s="128">
        <v>3</v>
      </c>
      <c r="Y71" s="131" t="str">
        <f ca="1">IF(ISBLANK(BudgetsTable[[#This Row],[budg_seq_yr]]),"FY"&amp;fiscalyear,"FY"&amp;fiscalyear-1+BudgetsTable[[#This Row],[budg_seq_yr]])</f>
        <v>FY20</v>
      </c>
      <c r="Z71" s="129">
        <v>50000</v>
      </c>
      <c r="AA71" s="128" t="s">
        <v>741</v>
      </c>
      <c r="AB71" s="128" t="s">
        <v>901</v>
      </c>
      <c r="AC71" s="126" t="s">
        <v>94</v>
      </c>
      <c r="AD71" s="128" t="s">
        <v>1968</v>
      </c>
    </row>
    <row r="72" spans="1:30">
      <c r="A72" s="125" t="s">
        <v>1052</v>
      </c>
      <c r="B72" s="126" t="s">
        <v>96</v>
      </c>
      <c r="C72" s="126">
        <f>C71+(BudgetsTable[[#This Row],[lead]]&lt;&gt;K71)</f>
        <v>19</v>
      </c>
      <c r="D72" s="126">
        <f>D71*(BudgetsTable[[#This Row],[lead]]=K71)+(BudgetsTable[[#This Row],[prop_id]]&lt;&gt;A71)</f>
        <v>1</v>
      </c>
      <c r="E72" s="127">
        <v>42808.710416666669</v>
      </c>
      <c r="F72" s="128" t="s">
        <v>1965</v>
      </c>
      <c r="G72" s="128" t="s">
        <v>741</v>
      </c>
      <c r="H72" s="128" t="s">
        <v>901</v>
      </c>
      <c r="I72" s="126" t="s">
        <v>942</v>
      </c>
      <c r="J72" s="126" t="s">
        <v>2064</v>
      </c>
      <c r="K72" s="128" t="s">
        <v>1052</v>
      </c>
      <c r="L72" s="7" t="str">
        <f>IF(BudgetsTable[[#This Row],[pi_last_name]]=" ","",HYPERLINK("https://www.ejacket.nsf.gov/ej/showProposal.do?Continue=Y&amp;ID="&amp;BudgetsTable[[#This Row],[prop_id]],BudgetsTable[[#This Row],[prop_id]]))</f>
        <v>1740707</v>
      </c>
      <c r="M72" s="15" t="str">
        <f>IF(BudgetsTable[[#This Row],[pi_last_name]]=" ","",HYPERLINK("https://www.ejacket.nsf.gov/ej/processReviewAnalysis.do?dispatch=add&amp;uniqId="&amp;BudgetsTable[[#This Row],[prop_id]]&amp;PO_id,"&gt;ra"))</f>
        <v>&gt;ra</v>
      </c>
      <c r="N72" s="128" t="s">
        <v>1053</v>
      </c>
      <c r="O72" s="7" t="str">
        <f>IF(BudgetsTable[[#This Row],[pi_last_name]]=" ","",HYPERLINK("mailto:"&amp;BudgetsTable[[#This Row],[pi_email]]&amp;"&amp;subject=Your NSF Proposal:  "&amp;BudgetsTable[[#This Row],[prop_id]],BudgetsTable[[#This Row],[pi_email]]))</f>
        <v>swright@cs.wisc.edu</v>
      </c>
      <c r="P72" s="128" t="s">
        <v>247</v>
      </c>
      <c r="Q72" s="128"/>
      <c r="R72" s="128"/>
      <c r="S72" s="129"/>
      <c r="T72" s="129"/>
      <c r="U72" s="129"/>
      <c r="V72" s="130"/>
      <c r="W72" s="128">
        <v>1</v>
      </c>
      <c r="X72" s="128"/>
      <c r="Y72" s="131" t="str">
        <f ca="1">IF(ISBLANK(BudgetsTable[[#This Row],[budg_seq_yr]]),"FY"&amp;fiscalyear,"FY"&amp;fiscalyear-1+BudgetsTable[[#This Row],[budg_seq_yr]])</f>
        <v>FY18</v>
      </c>
      <c r="Z72" s="129">
        <v>1499523</v>
      </c>
      <c r="AA72" s="128" t="s">
        <v>741</v>
      </c>
      <c r="AB72" s="128" t="s">
        <v>901</v>
      </c>
      <c r="AC72" s="126" t="s">
        <v>94</v>
      </c>
      <c r="AD72" s="128" t="s">
        <v>1968</v>
      </c>
    </row>
    <row r="73" spans="1:30">
      <c r="A73" s="125" t="s">
        <v>1052</v>
      </c>
      <c r="B73" s="126" t="s">
        <v>96</v>
      </c>
      <c r="C73" s="126">
        <f>C72+(BudgetsTable[[#This Row],[lead]]&lt;&gt;K72)</f>
        <v>19</v>
      </c>
      <c r="D73" s="126">
        <f>D72*(BudgetsTable[[#This Row],[lead]]=K72)+(BudgetsTable[[#This Row],[prop_id]]&lt;&gt;A72)</f>
        <v>1</v>
      </c>
      <c r="E73" s="127">
        <v>42808.710416666669</v>
      </c>
      <c r="F73" s="128" t="s">
        <v>1965</v>
      </c>
      <c r="G73" s="128" t="s">
        <v>741</v>
      </c>
      <c r="H73" s="128" t="s">
        <v>901</v>
      </c>
      <c r="I73" s="126" t="s">
        <v>942</v>
      </c>
      <c r="J73" s="126" t="s">
        <v>13</v>
      </c>
      <c r="K73" s="128" t="s">
        <v>1052</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128" t="s">
        <v>13</v>
      </c>
      <c r="O73" s="7" t="str">
        <f>IF(BudgetsTable[[#This Row],[pi_last_name]]=" ","",HYPERLINK("mailto:"&amp;BudgetsTable[[#This Row],[pi_email]]&amp;"&amp;subject=Your NSF Proposal:  "&amp;BudgetsTable[[#This Row],[prop_id]],BudgetsTable[[#This Row],[pi_email]]))</f>
        <v/>
      </c>
      <c r="P73" s="128" t="s">
        <v>13</v>
      </c>
      <c r="Q73" s="128">
        <v>4</v>
      </c>
      <c r="R73" s="128">
        <v>2</v>
      </c>
      <c r="S73" s="129">
        <v>64000</v>
      </c>
      <c r="T73" s="129">
        <v>10000</v>
      </c>
      <c r="U73" s="129">
        <v>25000</v>
      </c>
      <c r="V73" s="130">
        <v>499822</v>
      </c>
      <c r="W73" s="128">
        <v>1</v>
      </c>
      <c r="X73" s="128">
        <v>1</v>
      </c>
      <c r="Y73" s="131" t="str">
        <f ca="1">IF(ISBLANK(BudgetsTable[[#This Row],[budg_seq_yr]]),"FY"&amp;fiscalyear,"FY"&amp;fiscalyear-1+BudgetsTable[[#This Row],[budg_seq_yr]])</f>
        <v>FY18</v>
      </c>
      <c r="Z73" s="129">
        <v>499822</v>
      </c>
      <c r="AA73" s="128" t="s">
        <v>741</v>
      </c>
      <c r="AB73" s="128" t="s">
        <v>901</v>
      </c>
      <c r="AC73" s="126" t="s">
        <v>94</v>
      </c>
      <c r="AD73" s="128" t="s">
        <v>1968</v>
      </c>
    </row>
    <row r="74" spans="1:30">
      <c r="A74" s="125" t="s">
        <v>1052</v>
      </c>
      <c r="B74" s="126" t="s">
        <v>96</v>
      </c>
      <c r="C74" s="126">
        <f>C73+(BudgetsTable[[#This Row],[lead]]&lt;&gt;K73)</f>
        <v>19</v>
      </c>
      <c r="D74" s="126">
        <f>D73*(BudgetsTable[[#This Row],[lead]]=K73)+(BudgetsTable[[#This Row],[prop_id]]&lt;&gt;A73)</f>
        <v>1</v>
      </c>
      <c r="E74" s="127">
        <v>42808.710416666669</v>
      </c>
      <c r="F74" s="128" t="s">
        <v>1965</v>
      </c>
      <c r="G74" s="128" t="s">
        <v>741</v>
      </c>
      <c r="H74" s="128" t="s">
        <v>901</v>
      </c>
      <c r="I74" s="126" t="s">
        <v>942</v>
      </c>
      <c r="J74" s="126" t="s">
        <v>13</v>
      </c>
      <c r="K74" s="128" t="s">
        <v>1052</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128" t="s">
        <v>13</v>
      </c>
      <c r="O74" s="7" t="str">
        <f>IF(BudgetsTable[[#This Row],[pi_last_name]]=" ","",HYPERLINK("mailto:"&amp;BudgetsTable[[#This Row],[pi_email]]&amp;"&amp;subject=Your NSF Proposal:  "&amp;BudgetsTable[[#This Row],[prop_id]],BudgetsTable[[#This Row],[pi_email]]))</f>
        <v/>
      </c>
      <c r="P74" s="128" t="s">
        <v>13</v>
      </c>
      <c r="Q74" s="128">
        <v>4</v>
      </c>
      <c r="R74" s="128">
        <v>2</v>
      </c>
      <c r="S74" s="129">
        <v>65920</v>
      </c>
      <c r="T74" s="129">
        <v>10000</v>
      </c>
      <c r="U74" s="129">
        <v>11500</v>
      </c>
      <c r="V74" s="130">
        <v>499787</v>
      </c>
      <c r="W74" s="128">
        <v>1</v>
      </c>
      <c r="X74" s="128">
        <v>2</v>
      </c>
      <c r="Y74" s="131" t="str">
        <f ca="1">IF(ISBLANK(BudgetsTable[[#This Row],[budg_seq_yr]]),"FY"&amp;fiscalyear,"FY"&amp;fiscalyear-1+BudgetsTable[[#This Row],[budg_seq_yr]])</f>
        <v>FY19</v>
      </c>
      <c r="Z74" s="129">
        <v>499787</v>
      </c>
      <c r="AA74" s="128" t="s">
        <v>741</v>
      </c>
      <c r="AB74" s="128" t="s">
        <v>901</v>
      </c>
      <c r="AC74" s="126" t="s">
        <v>94</v>
      </c>
      <c r="AD74" s="128" t="s">
        <v>1968</v>
      </c>
    </row>
    <row r="75" spans="1:30">
      <c r="A75" s="125" t="s">
        <v>1052</v>
      </c>
      <c r="B75" s="126" t="s">
        <v>96</v>
      </c>
      <c r="C75" s="126">
        <f>C74+(BudgetsTable[[#This Row],[lead]]&lt;&gt;K74)</f>
        <v>19</v>
      </c>
      <c r="D75" s="126">
        <f>D74*(BudgetsTable[[#This Row],[lead]]=K74)+(BudgetsTable[[#This Row],[prop_id]]&lt;&gt;A74)</f>
        <v>1</v>
      </c>
      <c r="E75" s="127">
        <v>42808.710416666669</v>
      </c>
      <c r="F75" s="128" t="s">
        <v>1965</v>
      </c>
      <c r="G75" s="128" t="s">
        <v>741</v>
      </c>
      <c r="H75" s="128" t="s">
        <v>901</v>
      </c>
      <c r="I75" s="126" t="s">
        <v>942</v>
      </c>
      <c r="J75" s="126" t="s">
        <v>13</v>
      </c>
      <c r="K75" s="128" t="s">
        <v>1052</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128" t="s">
        <v>13</v>
      </c>
      <c r="O75" s="7" t="str">
        <f>IF(BudgetsTable[[#This Row],[pi_last_name]]=" ","",HYPERLINK("mailto:"&amp;BudgetsTable[[#This Row],[pi_email]]&amp;"&amp;subject=Your NSF Proposal:  "&amp;BudgetsTable[[#This Row],[prop_id]],BudgetsTable[[#This Row],[pi_email]]))</f>
        <v/>
      </c>
      <c r="P75" s="128" t="s">
        <v>13</v>
      </c>
      <c r="Q75" s="128">
        <v>5</v>
      </c>
      <c r="R75" s="128">
        <v>3</v>
      </c>
      <c r="S75" s="129">
        <v>67898</v>
      </c>
      <c r="T75" s="129">
        <v>10000</v>
      </c>
      <c r="U75" s="129">
        <v>13500</v>
      </c>
      <c r="V75" s="130">
        <v>499914</v>
      </c>
      <c r="W75" s="128">
        <v>1</v>
      </c>
      <c r="X75" s="128">
        <v>3</v>
      </c>
      <c r="Y75" s="131" t="str">
        <f ca="1">IF(ISBLANK(BudgetsTable[[#This Row],[budg_seq_yr]]),"FY"&amp;fiscalyear,"FY"&amp;fiscalyear-1+BudgetsTable[[#This Row],[budg_seq_yr]])</f>
        <v>FY20</v>
      </c>
      <c r="Z75" s="129">
        <v>499914</v>
      </c>
      <c r="AA75" s="128" t="s">
        <v>741</v>
      </c>
      <c r="AB75" s="128" t="s">
        <v>901</v>
      </c>
      <c r="AC75" s="126" t="s">
        <v>94</v>
      </c>
      <c r="AD75" s="128" t="s">
        <v>1968</v>
      </c>
    </row>
    <row r="76" spans="1:30">
      <c r="A76" s="125" t="s">
        <v>1064</v>
      </c>
      <c r="B76" s="126" t="s">
        <v>96</v>
      </c>
      <c r="C76" s="126">
        <f>C75+(BudgetsTable[[#This Row],[lead]]&lt;&gt;K75)</f>
        <v>20</v>
      </c>
      <c r="D76" s="126">
        <f>D75*(BudgetsTable[[#This Row],[lead]]=K75)+(BudgetsTable[[#This Row],[prop_id]]&lt;&gt;A75)</f>
        <v>1</v>
      </c>
      <c r="E76" s="127">
        <v>42809.402083333334</v>
      </c>
      <c r="F76" s="128" t="s">
        <v>1965</v>
      </c>
      <c r="G76" s="128" t="s">
        <v>741</v>
      </c>
      <c r="H76" s="128" t="s">
        <v>901</v>
      </c>
      <c r="I76" s="126" t="s">
        <v>942</v>
      </c>
      <c r="J76" s="126" t="s">
        <v>2069</v>
      </c>
      <c r="K76" s="128" t="s">
        <v>1064</v>
      </c>
      <c r="L76" s="7" t="str">
        <f>IF(BudgetsTable[[#This Row],[pi_last_name]]=" ","",HYPERLINK("https://www.ejacket.nsf.gov/ej/showProposal.do?Continue=Y&amp;ID="&amp;BudgetsTable[[#This Row],[prop_id]],BudgetsTable[[#This Row],[prop_id]]))</f>
        <v>1740728</v>
      </c>
      <c r="M76" s="15" t="str">
        <f>IF(BudgetsTable[[#This Row],[pi_last_name]]=" ","",HYPERLINK("https://www.ejacket.nsf.gov/ej/processReviewAnalysis.do?dispatch=add&amp;uniqId="&amp;BudgetsTable[[#This Row],[prop_id]]&amp;PO_id,"&gt;ra"))</f>
        <v>&gt;ra</v>
      </c>
      <c r="N76" s="128" t="s">
        <v>1065</v>
      </c>
      <c r="O76" s="7" t="str">
        <f>IF(BudgetsTable[[#This Row],[pi_last_name]]=" ","",HYPERLINK("mailto:"&amp;BudgetsTable[[#This Row],[pi_email]]&amp;"&amp;subject=Your NSF Proposal:  "&amp;BudgetsTable[[#This Row],[prop_id]],BudgetsTable[[#This Row],[pi_email]]))</f>
        <v>tianbao-yang@uiowa.edu</v>
      </c>
      <c r="P76" s="128" t="s">
        <v>2067</v>
      </c>
      <c r="Q76" s="128"/>
      <c r="R76" s="128"/>
      <c r="S76" s="129"/>
      <c r="T76" s="129"/>
      <c r="U76" s="129"/>
      <c r="V76" s="130"/>
      <c r="W76" s="128">
        <v>0</v>
      </c>
      <c r="X76" s="128"/>
      <c r="Y76" s="131" t="str">
        <f ca="1">IF(ISBLANK(BudgetsTable[[#This Row],[budg_seq_yr]]),"FY"&amp;fiscalyear,"FY"&amp;fiscalyear-1+BudgetsTable[[#This Row],[budg_seq_yr]])</f>
        <v>FY18</v>
      </c>
      <c r="Z76" s="129">
        <v>1496165</v>
      </c>
      <c r="AA76" s="128" t="s">
        <v>741</v>
      </c>
      <c r="AB76" s="128" t="s">
        <v>901</v>
      </c>
      <c r="AC76" s="126" t="s">
        <v>94</v>
      </c>
      <c r="AD76" s="128" t="s">
        <v>1968</v>
      </c>
    </row>
    <row r="77" spans="1:30">
      <c r="A77" s="125" t="s">
        <v>1064</v>
      </c>
      <c r="B77" s="126" t="s">
        <v>96</v>
      </c>
      <c r="C77" s="126">
        <f>C76+(BudgetsTable[[#This Row],[lead]]&lt;&gt;K76)</f>
        <v>20</v>
      </c>
      <c r="D77" s="126">
        <f>D76*(BudgetsTable[[#This Row],[lead]]=K76)+(BudgetsTable[[#This Row],[prop_id]]&lt;&gt;A76)</f>
        <v>1</v>
      </c>
      <c r="E77" s="127">
        <v>42809.402083333334</v>
      </c>
      <c r="F77" s="128" t="s">
        <v>1965</v>
      </c>
      <c r="G77" s="128" t="s">
        <v>741</v>
      </c>
      <c r="H77" s="128" t="s">
        <v>901</v>
      </c>
      <c r="I77" s="126" t="s">
        <v>942</v>
      </c>
      <c r="J77" s="126" t="s">
        <v>13</v>
      </c>
      <c r="K77" s="128" t="s">
        <v>1064</v>
      </c>
      <c r="L77" s="7" t="str">
        <f>IF(BudgetsTable[[#This Row],[pi_last_name]]=" ","",HYPERLINK("https://www.ejacket.nsf.gov/ej/showProposal.do?Continue=Y&amp;ID="&amp;BudgetsTable[[#This Row],[prop_id]],BudgetsTable[[#This Row],[prop_id]]))</f>
        <v/>
      </c>
      <c r="M77" s="15" t="str">
        <f>IF(BudgetsTable[[#This Row],[pi_last_name]]=" ","",HYPERLINK("https://www.ejacket.nsf.gov/ej/processReviewAnalysis.do?dispatch=add&amp;uniqId="&amp;BudgetsTable[[#This Row],[prop_id]]&amp;PO_id,"&gt;ra"))</f>
        <v/>
      </c>
      <c r="N77" s="128" t="s">
        <v>13</v>
      </c>
      <c r="O77" s="7" t="str">
        <f>IF(BudgetsTable[[#This Row],[pi_last_name]]=" ","",HYPERLINK("mailto:"&amp;BudgetsTable[[#This Row],[pi_email]]&amp;"&amp;subject=Your NSF Proposal:  "&amp;BudgetsTable[[#This Row],[prop_id]],BudgetsTable[[#This Row],[pi_email]]))</f>
        <v/>
      </c>
      <c r="P77" s="128" t="s">
        <v>13</v>
      </c>
      <c r="Q77" s="128">
        <v>9</v>
      </c>
      <c r="R77" s="128">
        <v>3.8</v>
      </c>
      <c r="S77" s="129">
        <v>0</v>
      </c>
      <c r="T77" s="129">
        <v>23600</v>
      </c>
      <c r="U77" s="129">
        <v>0</v>
      </c>
      <c r="V77" s="130">
        <v>499462</v>
      </c>
      <c r="W77" s="128">
        <v>0</v>
      </c>
      <c r="X77" s="128">
        <v>1</v>
      </c>
      <c r="Y77" s="131" t="str">
        <f ca="1">IF(ISBLANK(BudgetsTable[[#This Row],[budg_seq_yr]]),"FY"&amp;fiscalyear,"FY"&amp;fiscalyear-1+BudgetsTable[[#This Row],[budg_seq_yr]])</f>
        <v>FY18</v>
      </c>
      <c r="Z77" s="129">
        <v>499462</v>
      </c>
      <c r="AA77" s="128" t="s">
        <v>741</v>
      </c>
      <c r="AB77" s="128" t="s">
        <v>901</v>
      </c>
      <c r="AC77" s="126" t="s">
        <v>94</v>
      </c>
      <c r="AD77" s="128" t="s">
        <v>1968</v>
      </c>
    </row>
    <row r="78" spans="1:30">
      <c r="A78" s="125" t="s">
        <v>1064</v>
      </c>
      <c r="B78" s="126" t="s">
        <v>96</v>
      </c>
      <c r="C78" s="126">
        <f>C77+(BudgetsTable[[#This Row],[lead]]&lt;&gt;K77)</f>
        <v>20</v>
      </c>
      <c r="D78" s="126">
        <f>D77*(BudgetsTable[[#This Row],[lead]]=K77)+(BudgetsTable[[#This Row],[prop_id]]&lt;&gt;A77)</f>
        <v>1</v>
      </c>
      <c r="E78" s="127">
        <v>42809.402083333334</v>
      </c>
      <c r="F78" s="128" t="s">
        <v>1965</v>
      </c>
      <c r="G78" s="128" t="s">
        <v>741</v>
      </c>
      <c r="H78" s="128" t="s">
        <v>901</v>
      </c>
      <c r="I78" s="126" t="s">
        <v>942</v>
      </c>
      <c r="J78" s="126" t="s">
        <v>13</v>
      </c>
      <c r="K78" s="128" t="s">
        <v>1064</v>
      </c>
      <c r="L78" s="7" t="str">
        <f>IF(BudgetsTable[[#This Row],[pi_last_name]]=" ","",HYPERLINK("https://www.ejacket.nsf.gov/ej/showProposal.do?Continue=Y&amp;ID="&amp;BudgetsTable[[#This Row],[prop_id]],BudgetsTable[[#This Row],[prop_id]]))</f>
        <v/>
      </c>
      <c r="M78" s="15" t="str">
        <f>IF(BudgetsTable[[#This Row],[pi_last_name]]=" ","",HYPERLINK("https://www.ejacket.nsf.gov/ej/processReviewAnalysis.do?dispatch=add&amp;uniqId="&amp;BudgetsTable[[#This Row],[prop_id]]&amp;PO_id,"&gt;ra"))</f>
        <v/>
      </c>
      <c r="N78" s="128" t="s">
        <v>13</v>
      </c>
      <c r="O78" s="7" t="str">
        <f>IF(BudgetsTable[[#This Row],[pi_last_name]]=" ","",HYPERLINK("mailto:"&amp;BudgetsTable[[#This Row],[pi_email]]&amp;"&amp;subject=Your NSF Proposal:  "&amp;BudgetsTable[[#This Row],[prop_id]],BudgetsTable[[#This Row],[pi_email]]))</f>
        <v/>
      </c>
      <c r="P78" s="128" t="s">
        <v>13</v>
      </c>
      <c r="Q78" s="128">
        <v>9</v>
      </c>
      <c r="R78" s="128">
        <v>3.8</v>
      </c>
      <c r="S78" s="129">
        <v>0</v>
      </c>
      <c r="T78" s="129">
        <v>23600</v>
      </c>
      <c r="U78" s="129">
        <v>0</v>
      </c>
      <c r="V78" s="130">
        <v>498929</v>
      </c>
      <c r="W78" s="128">
        <v>0</v>
      </c>
      <c r="X78" s="128">
        <v>2</v>
      </c>
      <c r="Y78" s="131" t="str">
        <f ca="1">IF(ISBLANK(BudgetsTable[[#This Row],[budg_seq_yr]]),"FY"&amp;fiscalyear,"FY"&amp;fiscalyear-1+BudgetsTable[[#This Row],[budg_seq_yr]])</f>
        <v>FY19</v>
      </c>
      <c r="Z78" s="129">
        <v>498929</v>
      </c>
      <c r="AA78" s="128" t="s">
        <v>741</v>
      </c>
      <c r="AB78" s="128" t="s">
        <v>901</v>
      </c>
      <c r="AC78" s="126" t="s">
        <v>94</v>
      </c>
      <c r="AD78" s="128" t="s">
        <v>1968</v>
      </c>
    </row>
    <row r="79" spans="1:30">
      <c r="A79" s="125" t="s">
        <v>1064</v>
      </c>
      <c r="B79" s="126" t="s">
        <v>96</v>
      </c>
      <c r="C79" s="126">
        <f>C78+(BudgetsTable[[#This Row],[lead]]&lt;&gt;K78)</f>
        <v>20</v>
      </c>
      <c r="D79" s="126">
        <f>D78*(BudgetsTable[[#This Row],[lead]]=K78)+(BudgetsTable[[#This Row],[prop_id]]&lt;&gt;A78)</f>
        <v>1</v>
      </c>
      <c r="E79" s="127">
        <v>42809.402083333334</v>
      </c>
      <c r="F79" s="128" t="s">
        <v>1965</v>
      </c>
      <c r="G79" s="128" t="s">
        <v>741</v>
      </c>
      <c r="H79" s="128" t="s">
        <v>901</v>
      </c>
      <c r="I79" s="126" t="s">
        <v>942</v>
      </c>
      <c r="J79" s="126" t="s">
        <v>13</v>
      </c>
      <c r="K79" s="128" t="s">
        <v>1064</v>
      </c>
      <c r="L79" s="7" t="str">
        <f>IF(BudgetsTable[[#This Row],[pi_last_name]]=" ","",HYPERLINK("https://www.ejacket.nsf.gov/ej/showProposal.do?Continue=Y&amp;ID="&amp;BudgetsTable[[#This Row],[prop_id]],BudgetsTable[[#This Row],[prop_id]]))</f>
        <v/>
      </c>
      <c r="M79" s="15" t="str">
        <f>IF(BudgetsTable[[#This Row],[pi_last_name]]=" ","",HYPERLINK("https://www.ejacket.nsf.gov/ej/processReviewAnalysis.do?dispatch=add&amp;uniqId="&amp;BudgetsTable[[#This Row],[prop_id]]&amp;PO_id,"&gt;ra"))</f>
        <v/>
      </c>
      <c r="N79" s="128" t="s">
        <v>13</v>
      </c>
      <c r="O79" s="7" t="str">
        <f>IF(BudgetsTable[[#This Row],[pi_last_name]]=" ","",HYPERLINK("mailto:"&amp;BudgetsTable[[#This Row],[pi_email]]&amp;"&amp;subject=Your NSF Proposal:  "&amp;BudgetsTable[[#This Row],[prop_id]],BudgetsTable[[#This Row],[pi_email]]))</f>
        <v/>
      </c>
      <c r="P79" s="128" t="s">
        <v>13</v>
      </c>
      <c r="Q79" s="128">
        <v>9</v>
      </c>
      <c r="R79" s="128">
        <v>3.8</v>
      </c>
      <c r="S79" s="129">
        <v>0</v>
      </c>
      <c r="T79" s="129">
        <v>35400</v>
      </c>
      <c r="U79" s="129">
        <v>0</v>
      </c>
      <c r="V79" s="130">
        <v>497774</v>
      </c>
      <c r="W79" s="128">
        <v>0</v>
      </c>
      <c r="X79" s="128">
        <v>3</v>
      </c>
      <c r="Y79" s="131" t="str">
        <f ca="1">IF(ISBLANK(BudgetsTable[[#This Row],[budg_seq_yr]]),"FY"&amp;fiscalyear,"FY"&amp;fiscalyear-1+BudgetsTable[[#This Row],[budg_seq_yr]])</f>
        <v>FY20</v>
      </c>
      <c r="Z79" s="129">
        <v>497774</v>
      </c>
      <c r="AA79" s="128" t="s">
        <v>741</v>
      </c>
      <c r="AB79" s="128" t="s">
        <v>901</v>
      </c>
      <c r="AC79" s="126" t="s">
        <v>94</v>
      </c>
      <c r="AD79" s="128" t="s">
        <v>1968</v>
      </c>
    </row>
    <row r="80" spans="1:30">
      <c r="A80" s="125" t="s">
        <v>1073</v>
      </c>
      <c r="B80" s="126" t="s">
        <v>1981</v>
      </c>
      <c r="C80" s="126">
        <f>C79+(BudgetsTable[[#This Row],[lead]]&lt;&gt;K79)</f>
        <v>21</v>
      </c>
      <c r="D80" s="126">
        <f>D79*(BudgetsTable[[#This Row],[lead]]=K79)+(BudgetsTable[[#This Row],[prop_id]]&lt;&gt;A79)</f>
        <v>1</v>
      </c>
      <c r="E80" s="127">
        <v>42809.422222222223</v>
      </c>
      <c r="F80" s="128" t="s">
        <v>1965</v>
      </c>
      <c r="G80" s="128" t="s">
        <v>741</v>
      </c>
      <c r="H80" s="128" t="s">
        <v>901</v>
      </c>
      <c r="I80" s="126" t="s">
        <v>948</v>
      </c>
      <c r="J80" s="126" t="s">
        <v>2074</v>
      </c>
      <c r="K80" s="128" t="s">
        <v>1073</v>
      </c>
      <c r="L80" s="7" t="str">
        <f>IF(BudgetsTable[[#This Row],[pi_last_name]]=" ","",HYPERLINK("https://www.ejacket.nsf.gov/ej/showProposal.do?Continue=Y&amp;ID="&amp;BudgetsTable[[#This Row],[prop_id]],BudgetsTable[[#This Row],[prop_id]]))</f>
        <v>1740733</v>
      </c>
      <c r="M80" s="15" t="str">
        <f>IF(BudgetsTable[[#This Row],[pi_last_name]]=" ","",HYPERLINK("https://www.ejacket.nsf.gov/ej/processReviewAnalysis.do?dispatch=add&amp;uniqId="&amp;BudgetsTable[[#This Row],[prop_id]]&amp;PO_id,"&gt;ra"))</f>
        <v>&gt;ra</v>
      </c>
      <c r="N80" s="128" t="s">
        <v>1074</v>
      </c>
      <c r="O80" s="7" t="str">
        <f>IF(BudgetsTable[[#This Row],[pi_last_name]]=" ","",HYPERLINK("mailto:"&amp;BudgetsTable[[#This Row],[pi_email]]&amp;"&amp;subject=Your NSF Proposal:  "&amp;BudgetsTable[[#This Row],[prop_id]],BudgetsTable[[#This Row],[pi_email]]))</f>
        <v>hridesh@iastate.edu</v>
      </c>
      <c r="P80" s="128" t="s">
        <v>2071</v>
      </c>
      <c r="Q80" s="128"/>
      <c r="R80" s="128"/>
      <c r="S80" s="129"/>
      <c r="T80" s="129"/>
      <c r="U80" s="129"/>
      <c r="V80" s="130"/>
      <c r="W80" s="128">
        <v>0</v>
      </c>
      <c r="X80" s="128"/>
      <c r="Y80" s="131" t="str">
        <f ca="1">IF(ISBLANK(BudgetsTable[[#This Row],[budg_seq_yr]]),"FY"&amp;fiscalyear,"FY"&amp;fiscalyear-1+BudgetsTable[[#This Row],[budg_seq_yr]])</f>
        <v>FY18</v>
      </c>
      <c r="Z80" s="129">
        <v>1195362</v>
      </c>
      <c r="AA80" s="128" t="s">
        <v>741</v>
      </c>
      <c r="AB80" s="128" t="s">
        <v>901</v>
      </c>
      <c r="AC80" s="126" t="s">
        <v>94</v>
      </c>
      <c r="AD80" s="128" t="s">
        <v>1968</v>
      </c>
    </row>
    <row r="81" spans="1:30">
      <c r="A81" s="125" t="s">
        <v>1073</v>
      </c>
      <c r="B81" s="126" t="s">
        <v>1981</v>
      </c>
      <c r="C81" s="126">
        <f>C80+(BudgetsTable[[#This Row],[lead]]&lt;&gt;K80)</f>
        <v>21</v>
      </c>
      <c r="D81" s="126">
        <f>D80*(BudgetsTable[[#This Row],[lead]]=K80)+(BudgetsTable[[#This Row],[prop_id]]&lt;&gt;A80)</f>
        <v>1</v>
      </c>
      <c r="E81" s="127">
        <v>42809.422222222223</v>
      </c>
      <c r="F81" s="128" t="s">
        <v>1965</v>
      </c>
      <c r="G81" s="128" t="s">
        <v>741</v>
      </c>
      <c r="H81" s="128" t="s">
        <v>901</v>
      </c>
      <c r="I81" s="126" t="s">
        <v>948</v>
      </c>
      <c r="J81" s="126" t="s">
        <v>13</v>
      </c>
      <c r="K81" s="128" t="s">
        <v>1073</v>
      </c>
      <c r="L81" s="7" t="str">
        <f>IF(BudgetsTable[[#This Row],[pi_last_name]]=" ","",HYPERLINK("https://www.ejacket.nsf.gov/ej/showProposal.do?Continue=Y&amp;ID="&amp;BudgetsTable[[#This Row],[prop_id]],BudgetsTable[[#This Row],[prop_id]]))</f>
        <v/>
      </c>
      <c r="M81" s="15" t="str">
        <f>IF(BudgetsTable[[#This Row],[pi_last_name]]=" ","",HYPERLINK("https://www.ejacket.nsf.gov/ej/processReviewAnalysis.do?dispatch=add&amp;uniqId="&amp;BudgetsTable[[#This Row],[prop_id]]&amp;PO_id,"&gt;ra"))</f>
        <v/>
      </c>
      <c r="N81" s="128" t="s">
        <v>13</v>
      </c>
      <c r="O81" s="7" t="str">
        <f>IF(BudgetsTable[[#This Row],[pi_last_name]]=" ","",HYPERLINK("mailto:"&amp;BudgetsTable[[#This Row],[pi_email]]&amp;"&amp;subject=Your NSF Proposal:  "&amp;BudgetsTable[[#This Row],[prop_id]],BudgetsTable[[#This Row],[pi_email]]))</f>
        <v/>
      </c>
      <c r="P81" s="128" t="s">
        <v>13</v>
      </c>
      <c r="Q81" s="128">
        <v>7</v>
      </c>
      <c r="R81" s="128">
        <v>0</v>
      </c>
      <c r="S81" s="129">
        <v>0</v>
      </c>
      <c r="T81" s="129">
        <v>0</v>
      </c>
      <c r="U81" s="129">
        <v>0</v>
      </c>
      <c r="V81" s="130">
        <v>400524</v>
      </c>
      <c r="W81" s="128">
        <v>0</v>
      </c>
      <c r="X81" s="128">
        <v>1</v>
      </c>
      <c r="Y81" s="131" t="str">
        <f ca="1">IF(ISBLANK(BudgetsTable[[#This Row],[budg_seq_yr]]),"FY"&amp;fiscalyear,"FY"&amp;fiscalyear-1+BudgetsTable[[#This Row],[budg_seq_yr]])</f>
        <v>FY18</v>
      </c>
      <c r="Z81" s="129">
        <v>400524</v>
      </c>
      <c r="AA81" s="128" t="s">
        <v>741</v>
      </c>
      <c r="AB81" s="128" t="s">
        <v>901</v>
      </c>
      <c r="AC81" s="126" t="s">
        <v>94</v>
      </c>
      <c r="AD81" s="128" t="s">
        <v>1968</v>
      </c>
    </row>
    <row r="82" spans="1:30">
      <c r="A82" s="125" t="s">
        <v>1073</v>
      </c>
      <c r="B82" s="126" t="s">
        <v>1981</v>
      </c>
      <c r="C82" s="126">
        <f>C81+(BudgetsTable[[#This Row],[lead]]&lt;&gt;K81)</f>
        <v>21</v>
      </c>
      <c r="D82" s="126">
        <f>D81*(BudgetsTable[[#This Row],[lead]]=K81)+(BudgetsTable[[#This Row],[prop_id]]&lt;&gt;A81)</f>
        <v>1</v>
      </c>
      <c r="E82" s="127">
        <v>42809.422222222223</v>
      </c>
      <c r="F82" s="128" t="s">
        <v>1965</v>
      </c>
      <c r="G82" s="128" t="s">
        <v>741</v>
      </c>
      <c r="H82" s="128" t="s">
        <v>901</v>
      </c>
      <c r="I82" s="126" t="s">
        <v>948</v>
      </c>
      <c r="J82" s="126" t="s">
        <v>13</v>
      </c>
      <c r="K82" s="128" t="s">
        <v>1073</v>
      </c>
      <c r="L82" s="7" t="str">
        <f>IF(BudgetsTable[[#This Row],[pi_last_name]]=" ","",HYPERLINK("https://www.ejacket.nsf.gov/ej/showProposal.do?Continue=Y&amp;ID="&amp;BudgetsTable[[#This Row],[prop_id]],BudgetsTable[[#This Row],[prop_id]]))</f>
        <v/>
      </c>
      <c r="M82" s="15" t="str">
        <f>IF(BudgetsTable[[#This Row],[pi_last_name]]=" ","",HYPERLINK("https://www.ejacket.nsf.gov/ej/processReviewAnalysis.do?dispatch=add&amp;uniqId="&amp;BudgetsTable[[#This Row],[prop_id]]&amp;PO_id,"&gt;ra"))</f>
        <v/>
      </c>
      <c r="N82" s="128" t="s">
        <v>13</v>
      </c>
      <c r="O82" s="7" t="str">
        <f>IF(BudgetsTable[[#This Row],[pi_last_name]]=" ","",HYPERLINK("mailto:"&amp;BudgetsTable[[#This Row],[pi_email]]&amp;"&amp;subject=Your NSF Proposal:  "&amp;BudgetsTable[[#This Row],[prop_id]],BudgetsTable[[#This Row],[pi_email]]))</f>
        <v/>
      </c>
      <c r="P82" s="128" t="s">
        <v>13</v>
      </c>
      <c r="Q82" s="128">
        <v>7</v>
      </c>
      <c r="R82" s="128">
        <v>0</v>
      </c>
      <c r="S82" s="129">
        <v>0</v>
      </c>
      <c r="T82" s="129">
        <v>0</v>
      </c>
      <c r="U82" s="129">
        <v>0</v>
      </c>
      <c r="V82" s="130">
        <v>398062</v>
      </c>
      <c r="W82" s="128">
        <v>0</v>
      </c>
      <c r="X82" s="128">
        <v>2</v>
      </c>
      <c r="Y82" s="131" t="str">
        <f ca="1">IF(ISBLANK(BudgetsTable[[#This Row],[budg_seq_yr]]),"FY"&amp;fiscalyear,"FY"&amp;fiscalyear-1+BudgetsTable[[#This Row],[budg_seq_yr]])</f>
        <v>FY19</v>
      </c>
      <c r="Z82" s="129">
        <v>398062</v>
      </c>
      <c r="AA82" s="128" t="s">
        <v>741</v>
      </c>
      <c r="AB82" s="128" t="s">
        <v>901</v>
      </c>
      <c r="AC82" s="126" t="s">
        <v>94</v>
      </c>
      <c r="AD82" s="128" t="s">
        <v>1968</v>
      </c>
    </row>
    <row r="83" spans="1:30">
      <c r="A83" s="125" t="s">
        <v>1073</v>
      </c>
      <c r="B83" s="126" t="s">
        <v>1981</v>
      </c>
      <c r="C83" s="126">
        <f>C82+(BudgetsTable[[#This Row],[lead]]&lt;&gt;K82)</f>
        <v>21</v>
      </c>
      <c r="D83" s="126">
        <f>D82*(BudgetsTable[[#This Row],[lead]]=K82)+(BudgetsTable[[#This Row],[prop_id]]&lt;&gt;A82)</f>
        <v>1</v>
      </c>
      <c r="E83" s="127">
        <v>42809.422222222223</v>
      </c>
      <c r="F83" s="128" t="s">
        <v>1965</v>
      </c>
      <c r="G83" s="128" t="s">
        <v>741</v>
      </c>
      <c r="H83" s="128" t="s">
        <v>901</v>
      </c>
      <c r="I83" s="126" t="s">
        <v>948</v>
      </c>
      <c r="J83" s="126" t="s">
        <v>13</v>
      </c>
      <c r="K83" s="128" t="s">
        <v>1073</v>
      </c>
      <c r="L83" s="7" t="str">
        <f>IF(BudgetsTable[[#This Row],[pi_last_name]]=" ","",HYPERLINK("https://www.ejacket.nsf.gov/ej/showProposal.do?Continue=Y&amp;ID="&amp;BudgetsTable[[#This Row],[prop_id]],BudgetsTable[[#This Row],[prop_id]]))</f>
        <v/>
      </c>
      <c r="M83" s="15" t="str">
        <f>IF(BudgetsTable[[#This Row],[pi_last_name]]=" ","",HYPERLINK("https://www.ejacket.nsf.gov/ej/processReviewAnalysis.do?dispatch=add&amp;uniqId="&amp;BudgetsTable[[#This Row],[prop_id]]&amp;PO_id,"&gt;ra"))</f>
        <v/>
      </c>
      <c r="N83" s="128" t="s">
        <v>13</v>
      </c>
      <c r="O83" s="7" t="str">
        <f>IF(BudgetsTable[[#This Row],[pi_last_name]]=" ","",HYPERLINK("mailto:"&amp;BudgetsTable[[#This Row],[pi_email]]&amp;"&amp;subject=Your NSF Proposal:  "&amp;BudgetsTable[[#This Row],[prop_id]],BudgetsTable[[#This Row],[pi_email]]))</f>
        <v/>
      </c>
      <c r="P83" s="128" t="s">
        <v>13</v>
      </c>
      <c r="Q83" s="128">
        <v>7</v>
      </c>
      <c r="R83" s="128">
        <v>0</v>
      </c>
      <c r="S83" s="129">
        <v>0</v>
      </c>
      <c r="T83" s="129">
        <v>0</v>
      </c>
      <c r="U83" s="129">
        <v>0</v>
      </c>
      <c r="V83" s="130">
        <v>396776</v>
      </c>
      <c r="W83" s="128">
        <v>0</v>
      </c>
      <c r="X83" s="128">
        <v>3</v>
      </c>
      <c r="Y83" s="131" t="str">
        <f ca="1">IF(ISBLANK(BudgetsTable[[#This Row],[budg_seq_yr]]),"FY"&amp;fiscalyear,"FY"&amp;fiscalyear-1+BudgetsTable[[#This Row],[budg_seq_yr]])</f>
        <v>FY20</v>
      </c>
      <c r="Z83" s="129">
        <v>396776</v>
      </c>
      <c r="AA83" s="128" t="s">
        <v>741</v>
      </c>
      <c r="AB83" s="128" t="s">
        <v>901</v>
      </c>
      <c r="AC83" s="126" t="s">
        <v>94</v>
      </c>
      <c r="AD83" s="128" t="s">
        <v>1968</v>
      </c>
    </row>
    <row r="84" spans="1:30">
      <c r="A84" s="125" t="s">
        <v>2075</v>
      </c>
      <c r="B84" s="126" t="s">
        <v>1989</v>
      </c>
      <c r="C84" s="126">
        <f>C83+(BudgetsTable[[#This Row],[lead]]&lt;&gt;K83)</f>
        <v>21</v>
      </c>
      <c r="D84" s="126">
        <f>D83*(BudgetsTable[[#This Row],[lead]]=K83)+(BudgetsTable[[#This Row],[prop_id]]&lt;&gt;A83)</f>
        <v>2</v>
      </c>
      <c r="E84" s="127">
        <v>42808.477083333331</v>
      </c>
      <c r="F84" s="128" t="s">
        <v>1965</v>
      </c>
      <c r="G84" s="128" t="s">
        <v>741</v>
      </c>
      <c r="H84" s="128" t="s">
        <v>901</v>
      </c>
      <c r="I84" s="126" t="s">
        <v>948</v>
      </c>
      <c r="J84" s="126" t="s">
        <v>2079</v>
      </c>
      <c r="K84" s="128" t="s">
        <v>1073</v>
      </c>
      <c r="L84" s="7" t="str">
        <f>IF(BudgetsTable[[#This Row],[pi_last_name]]=" ","",HYPERLINK("https://www.ejacket.nsf.gov/ej/showProposal.do?Continue=Y&amp;ID="&amp;BudgetsTable[[#This Row],[prop_id]],BudgetsTable[[#This Row],[prop_id]]))</f>
        <v>1740639</v>
      </c>
      <c r="M84" s="15" t="str">
        <f>IF(BudgetsTable[[#This Row],[pi_last_name]]=" ","",HYPERLINK("https://www.ejacket.nsf.gov/ej/processReviewAnalysis.do?dispatch=add&amp;uniqId="&amp;BudgetsTable[[#This Row],[prop_id]]&amp;PO_id,"&gt;ra"))</f>
        <v>&gt;ra</v>
      </c>
      <c r="N84" s="128" t="s">
        <v>2076</v>
      </c>
      <c r="O84" s="7" t="str">
        <f>IF(BudgetsTable[[#This Row],[pi_last_name]]=" ","",HYPERLINK("mailto:"&amp;BudgetsTable[[#This Row],[pi_email]]&amp;"&amp;subject=Your NSF Proposal:  "&amp;BudgetsTable[[#This Row],[prop_id]],BudgetsTable[[#This Row],[pi_email]]))</f>
        <v>plale@cs.indiana.edu</v>
      </c>
      <c r="P84" s="128" t="s">
        <v>2078</v>
      </c>
      <c r="Q84" s="128"/>
      <c r="R84" s="128"/>
      <c r="S84" s="129"/>
      <c r="T84" s="129"/>
      <c r="U84" s="129"/>
      <c r="V84" s="130"/>
      <c r="W84" s="128">
        <v>0</v>
      </c>
      <c r="X84" s="128"/>
      <c r="Y84" s="131" t="str">
        <f ca="1">IF(ISBLANK(BudgetsTable[[#This Row],[budg_seq_yr]]),"FY"&amp;fiscalyear,"FY"&amp;fiscalyear-1+BudgetsTable[[#This Row],[budg_seq_yr]])</f>
        <v>FY18</v>
      </c>
      <c r="Z84" s="129">
        <v>302228</v>
      </c>
      <c r="AA84" s="128" t="s">
        <v>741</v>
      </c>
      <c r="AB84" s="128" t="s">
        <v>901</v>
      </c>
      <c r="AC84" s="126" t="s">
        <v>94</v>
      </c>
      <c r="AD84" s="128" t="s">
        <v>1968</v>
      </c>
    </row>
    <row r="85" spans="1:30">
      <c r="A85" s="125" t="s">
        <v>2075</v>
      </c>
      <c r="B85" s="126" t="s">
        <v>1989</v>
      </c>
      <c r="C85" s="126">
        <f>C84+(BudgetsTable[[#This Row],[lead]]&lt;&gt;K84)</f>
        <v>21</v>
      </c>
      <c r="D85" s="126">
        <f>D84*(BudgetsTable[[#This Row],[lead]]=K84)+(BudgetsTable[[#This Row],[prop_id]]&lt;&gt;A84)</f>
        <v>2</v>
      </c>
      <c r="E85" s="127">
        <v>42808.477083333331</v>
      </c>
      <c r="F85" s="128" t="s">
        <v>1965</v>
      </c>
      <c r="G85" s="128" t="s">
        <v>741</v>
      </c>
      <c r="H85" s="128" t="s">
        <v>901</v>
      </c>
      <c r="I85" s="126" t="s">
        <v>948</v>
      </c>
      <c r="J85" s="126" t="s">
        <v>13</v>
      </c>
      <c r="K85" s="128" t="s">
        <v>1073</v>
      </c>
      <c r="L85" s="7" t="str">
        <f>IF(BudgetsTable[[#This Row],[pi_last_name]]=" ","",HYPERLINK("https://www.ejacket.nsf.gov/ej/showProposal.do?Continue=Y&amp;ID="&amp;BudgetsTable[[#This Row],[prop_id]],BudgetsTable[[#This Row],[prop_id]]))</f>
        <v/>
      </c>
      <c r="M85" s="15" t="str">
        <f>IF(BudgetsTable[[#This Row],[pi_last_name]]=" ","",HYPERLINK("https://www.ejacket.nsf.gov/ej/processReviewAnalysis.do?dispatch=add&amp;uniqId="&amp;BudgetsTable[[#This Row],[prop_id]]&amp;PO_id,"&gt;ra"))</f>
        <v/>
      </c>
      <c r="N85" s="128" t="s">
        <v>13</v>
      </c>
      <c r="O85" s="7" t="str">
        <f>IF(BudgetsTable[[#This Row],[pi_last_name]]=" ","",HYPERLINK("mailto:"&amp;BudgetsTable[[#This Row],[pi_email]]&amp;"&amp;subject=Your NSF Proposal:  "&amp;BudgetsTable[[#This Row],[prop_id]],BudgetsTable[[#This Row],[pi_email]]))</f>
        <v/>
      </c>
      <c r="P85" s="128" t="s">
        <v>13</v>
      </c>
      <c r="Q85" s="128">
        <v>4</v>
      </c>
      <c r="R85" s="128">
        <v>0.6</v>
      </c>
      <c r="S85" s="129">
        <v>0</v>
      </c>
      <c r="T85" s="129">
        <v>0</v>
      </c>
      <c r="U85" s="129">
        <v>0</v>
      </c>
      <c r="V85" s="130">
        <v>98814</v>
      </c>
      <c r="W85" s="128">
        <v>0</v>
      </c>
      <c r="X85" s="128">
        <v>1</v>
      </c>
      <c r="Y85" s="131" t="str">
        <f ca="1">IF(ISBLANK(BudgetsTable[[#This Row],[budg_seq_yr]]),"FY"&amp;fiscalyear,"FY"&amp;fiscalyear-1+BudgetsTable[[#This Row],[budg_seq_yr]])</f>
        <v>FY18</v>
      </c>
      <c r="Z85" s="129">
        <v>98814</v>
      </c>
      <c r="AA85" s="128" t="s">
        <v>741</v>
      </c>
      <c r="AB85" s="128" t="s">
        <v>901</v>
      </c>
      <c r="AC85" s="126" t="s">
        <v>94</v>
      </c>
      <c r="AD85" s="128" t="s">
        <v>1968</v>
      </c>
    </row>
    <row r="86" spans="1:30">
      <c r="A86" s="125" t="s">
        <v>2075</v>
      </c>
      <c r="B86" s="126" t="s">
        <v>1989</v>
      </c>
      <c r="C86" s="126">
        <f>C85+(BudgetsTable[[#This Row],[lead]]&lt;&gt;K85)</f>
        <v>21</v>
      </c>
      <c r="D86" s="126">
        <f>D85*(BudgetsTable[[#This Row],[lead]]=K85)+(BudgetsTable[[#This Row],[prop_id]]&lt;&gt;A85)</f>
        <v>2</v>
      </c>
      <c r="E86" s="127">
        <v>42808.477083333331</v>
      </c>
      <c r="F86" s="128" t="s">
        <v>1965</v>
      </c>
      <c r="G86" s="128" t="s">
        <v>741</v>
      </c>
      <c r="H86" s="128" t="s">
        <v>901</v>
      </c>
      <c r="I86" s="126" t="s">
        <v>948</v>
      </c>
      <c r="J86" s="126" t="s">
        <v>13</v>
      </c>
      <c r="K86" s="128" t="s">
        <v>1073</v>
      </c>
      <c r="L86" s="7" t="str">
        <f>IF(BudgetsTable[[#This Row],[pi_last_name]]=" ","",HYPERLINK("https://www.ejacket.nsf.gov/ej/showProposal.do?Continue=Y&amp;ID="&amp;BudgetsTable[[#This Row],[prop_id]],BudgetsTable[[#This Row],[prop_id]]))</f>
        <v/>
      </c>
      <c r="M86" s="15" t="str">
        <f>IF(BudgetsTable[[#This Row],[pi_last_name]]=" ","",HYPERLINK("https://www.ejacket.nsf.gov/ej/processReviewAnalysis.do?dispatch=add&amp;uniqId="&amp;BudgetsTable[[#This Row],[prop_id]]&amp;PO_id,"&gt;ra"))</f>
        <v/>
      </c>
      <c r="N86" s="128" t="s">
        <v>13</v>
      </c>
      <c r="O86" s="7" t="str">
        <f>IF(BudgetsTable[[#This Row],[pi_last_name]]=" ","",HYPERLINK("mailto:"&amp;BudgetsTable[[#This Row],[pi_email]]&amp;"&amp;subject=Your NSF Proposal:  "&amp;BudgetsTable[[#This Row],[prop_id]],BudgetsTable[[#This Row],[pi_email]]))</f>
        <v/>
      </c>
      <c r="P86" s="128" t="s">
        <v>13</v>
      </c>
      <c r="Q86" s="128">
        <v>4</v>
      </c>
      <c r="R86" s="128">
        <v>0.6</v>
      </c>
      <c r="S86" s="129">
        <v>0</v>
      </c>
      <c r="T86" s="129">
        <v>0</v>
      </c>
      <c r="U86" s="129">
        <v>0</v>
      </c>
      <c r="V86" s="130">
        <v>100693</v>
      </c>
      <c r="W86" s="128">
        <v>0</v>
      </c>
      <c r="X86" s="128">
        <v>2</v>
      </c>
      <c r="Y86" s="131" t="str">
        <f ca="1">IF(ISBLANK(BudgetsTable[[#This Row],[budg_seq_yr]]),"FY"&amp;fiscalyear,"FY"&amp;fiscalyear-1+BudgetsTable[[#This Row],[budg_seq_yr]])</f>
        <v>FY19</v>
      </c>
      <c r="Z86" s="129">
        <v>100693</v>
      </c>
      <c r="AA86" s="128" t="s">
        <v>741</v>
      </c>
      <c r="AB86" s="128" t="s">
        <v>901</v>
      </c>
      <c r="AC86" s="126" t="s">
        <v>94</v>
      </c>
      <c r="AD86" s="128" t="s">
        <v>1968</v>
      </c>
    </row>
    <row r="87" spans="1:30">
      <c r="A87" s="125" t="s">
        <v>2075</v>
      </c>
      <c r="B87" s="126" t="s">
        <v>1989</v>
      </c>
      <c r="C87" s="126">
        <f>C86+(BudgetsTable[[#This Row],[lead]]&lt;&gt;K86)</f>
        <v>21</v>
      </c>
      <c r="D87" s="126">
        <f>D86*(BudgetsTable[[#This Row],[lead]]=K86)+(BudgetsTable[[#This Row],[prop_id]]&lt;&gt;A86)</f>
        <v>2</v>
      </c>
      <c r="E87" s="127">
        <v>42808.477083333331</v>
      </c>
      <c r="F87" s="128" t="s">
        <v>1965</v>
      </c>
      <c r="G87" s="128" t="s">
        <v>741</v>
      </c>
      <c r="H87" s="128" t="s">
        <v>901</v>
      </c>
      <c r="I87" s="126" t="s">
        <v>948</v>
      </c>
      <c r="J87" s="126" t="s">
        <v>13</v>
      </c>
      <c r="K87" s="128" t="s">
        <v>1073</v>
      </c>
      <c r="L87" s="7" t="str">
        <f>IF(BudgetsTable[[#This Row],[pi_last_name]]=" ","",HYPERLINK("https://www.ejacket.nsf.gov/ej/showProposal.do?Continue=Y&amp;ID="&amp;BudgetsTable[[#This Row],[prop_id]],BudgetsTable[[#This Row],[prop_id]]))</f>
        <v/>
      </c>
      <c r="M87" s="15" t="str">
        <f>IF(BudgetsTable[[#This Row],[pi_last_name]]=" ","",HYPERLINK("https://www.ejacket.nsf.gov/ej/processReviewAnalysis.do?dispatch=add&amp;uniqId="&amp;BudgetsTable[[#This Row],[prop_id]]&amp;PO_id,"&gt;ra"))</f>
        <v/>
      </c>
      <c r="N87" s="128" t="s">
        <v>13</v>
      </c>
      <c r="O87" s="7" t="str">
        <f>IF(BudgetsTable[[#This Row],[pi_last_name]]=" ","",HYPERLINK("mailto:"&amp;BudgetsTable[[#This Row],[pi_email]]&amp;"&amp;subject=Your NSF Proposal:  "&amp;BudgetsTable[[#This Row],[prop_id]],BudgetsTable[[#This Row],[pi_email]]))</f>
        <v/>
      </c>
      <c r="P87" s="128" t="s">
        <v>13</v>
      </c>
      <c r="Q87" s="128">
        <v>4</v>
      </c>
      <c r="R87" s="128">
        <v>0.6</v>
      </c>
      <c r="S87" s="129">
        <v>0</v>
      </c>
      <c r="T87" s="129">
        <v>0</v>
      </c>
      <c r="U87" s="129">
        <v>0</v>
      </c>
      <c r="V87" s="130">
        <v>102721</v>
      </c>
      <c r="W87" s="128">
        <v>0</v>
      </c>
      <c r="X87" s="128">
        <v>3</v>
      </c>
      <c r="Y87" s="131" t="str">
        <f ca="1">IF(ISBLANK(BudgetsTable[[#This Row],[budg_seq_yr]]),"FY"&amp;fiscalyear,"FY"&amp;fiscalyear-1+BudgetsTable[[#This Row],[budg_seq_yr]])</f>
        <v>FY20</v>
      </c>
      <c r="Z87" s="129">
        <v>102721</v>
      </c>
      <c r="AA87" s="128" t="s">
        <v>741</v>
      </c>
      <c r="AB87" s="128" t="s">
        <v>901</v>
      </c>
      <c r="AC87" s="126" t="s">
        <v>94</v>
      </c>
      <c r="AD87" s="128" t="s">
        <v>1968</v>
      </c>
    </row>
    <row r="88" spans="1:30">
      <c r="A88" s="125" t="s">
        <v>1081</v>
      </c>
      <c r="B88" s="126" t="s">
        <v>96</v>
      </c>
      <c r="C88" s="126">
        <f>C87+(BudgetsTable[[#This Row],[lead]]&lt;&gt;K87)</f>
        <v>22</v>
      </c>
      <c r="D88" s="126">
        <f>D87*(BudgetsTable[[#This Row],[lead]]=K87)+(BudgetsTable[[#This Row],[prop_id]]&lt;&gt;A87)</f>
        <v>1</v>
      </c>
      <c r="E88" s="127">
        <v>42809.441666666666</v>
      </c>
      <c r="F88" s="128" t="s">
        <v>1965</v>
      </c>
      <c r="G88" s="128" t="s">
        <v>741</v>
      </c>
      <c r="H88" s="128" t="s">
        <v>901</v>
      </c>
      <c r="I88" s="126" t="s">
        <v>540</v>
      </c>
      <c r="J88" s="126" t="s">
        <v>2084</v>
      </c>
      <c r="K88" s="128" t="s">
        <v>1081</v>
      </c>
      <c r="L88" s="7" t="str">
        <f>IF(BudgetsTable[[#This Row],[pi_last_name]]=" ","",HYPERLINK("https://www.ejacket.nsf.gov/ej/showProposal.do?Continue=Y&amp;ID="&amp;BudgetsTable[[#This Row],[prop_id]],BudgetsTable[[#This Row],[prop_id]]))</f>
        <v>1740736</v>
      </c>
      <c r="M88" s="15" t="str">
        <f>IF(BudgetsTable[[#This Row],[pi_last_name]]=" ","",HYPERLINK("https://www.ejacket.nsf.gov/ej/processReviewAnalysis.do?dispatch=add&amp;uniqId="&amp;BudgetsTable[[#This Row],[prop_id]]&amp;PO_id,"&gt;ra"))</f>
        <v>&gt;ra</v>
      </c>
      <c r="N88" s="128" t="s">
        <v>1082</v>
      </c>
      <c r="O88" s="7" t="str">
        <f>IF(BudgetsTable[[#This Row],[pi_last_name]]=" ","",HYPERLINK("mailto:"&amp;BudgetsTable[[#This Row],[pi_email]]&amp;"&amp;subject=Your NSF Proposal:  "&amp;BudgetsTable[[#This Row],[prop_id]],BudgetsTable[[#This Row],[pi_email]]))</f>
        <v>noah_daniels@uri.edu</v>
      </c>
      <c r="P88" s="128" t="s">
        <v>2081</v>
      </c>
      <c r="Q88" s="128"/>
      <c r="R88" s="128"/>
      <c r="S88" s="129"/>
      <c r="T88" s="129"/>
      <c r="U88" s="129"/>
      <c r="V88" s="130"/>
      <c r="W88" s="128">
        <v>0</v>
      </c>
      <c r="X88" s="128"/>
      <c r="Y88" s="131" t="str">
        <f ca="1">IF(ISBLANK(BudgetsTable[[#This Row],[budg_seq_yr]]),"FY"&amp;fiscalyear,"FY"&amp;fiscalyear-1+BudgetsTable[[#This Row],[budg_seq_yr]])</f>
        <v>FY18</v>
      </c>
      <c r="Z88" s="129">
        <v>1319163</v>
      </c>
      <c r="AA88" s="128" t="s">
        <v>741</v>
      </c>
      <c r="AB88" s="128" t="s">
        <v>901</v>
      </c>
      <c r="AC88" s="126" t="s">
        <v>94</v>
      </c>
      <c r="AD88" s="128" t="s">
        <v>1987</v>
      </c>
    </row>
    <row r="89" spans="1:30">
      <c r="A89" s="125" t="s">
        <v>1081</v>
      </c>
      <c r="B89" s="126" t="s">
        <v>96</v>
      </c>
      <c r="C89" s="126">
        <f>C88+(BudgetsTable[[#This Row],[lead]]&lt;&gt;K88)</f>
        <v>22</v>
      </c>
      <c r="D89" s="126">
        <f>D88*(BudgetsTable[[#This Row],[lead]]=K88)+(BudgetsTable[[#This Row],[prop_id]]&lt;&gt;A88)</f>
        <v>1</v>
      </c>
      <c r="E89" s="127">
        <v>42809.441666666666</v>
      </c>
      <c r="F89" s="128" t="s">
        <v>1965</v>
      </c>
      <c r="G89" s="128" t="s">
        <v>741</v>
      </c>
      <c r="H89" s="128" t="s">
        <v>901</v>
      </c>
      <c r="I89" s="126" t="s">
        <v>540</v>
      </c>
      <c r="J89" s="126" t="s">
        <v>13</v>
      </c>
      <c r="K89" s="128" t="s">
        <v>1081</v>
      </c>
      <c r="L89" s="7" t="str">
        <f>IF(BudgetsTable[[#This Row],[pi_last_name]]=" ","",HYPERLINK("https://www.ejacket.nsf.gov/ej/showProposal.do?Continue=Y&amp;ID="&amp;BudgetsTable[[#This Row],[prop_id]],BudgetsTable[[#This Row],[prop_id]]))</f>
        <v/>
      </c>
      <c r="M89" s="15" t="str">
        <f>IF(BudgetsTable[[#This Row],[pi_last_name]]=" ","",HYPERLINK("https://www.ejacket.nsf.gov/ej/processReviewAnalysis.do?dispatch=add&amp;uniqId="&amp;BudgetsTable[[#This Row],[prop_id]]&amp;PO_id,"&gt;ra"))</f>
        <v/>
      </c>
      <c r="N89" s="128" t="s">
        <v>13</v>
      </c>
      <c r="O89" s="7" t="str">
        <f>IF(BudgetsTable[[#This Row],[pi_last_name]]=" ","",HYPERLINK("mailto:"&amp;BudgetsTable[[#This Row],[pi_email]]&amp;"&amp;subject=Your NSF Proposal:  "&amp;BudgetsTable[[#This Row],[prop_id]],BudgetsTable[[#This Row],[pi_email]]))</f>
        <v/>
      </c>
      <c r="P89" s="128" t="s">
        <v>13</v>
      </c>
      <c r="Q89" s="128">
        <v>3</v>
      </c>
      <c r="R89" s="128">
        <v>6</v>
      </c>
      <c r="S89" s="129">
        <v>50350</v>
      </c>
      <c r="T89" s="129">
        <v>5000</v>
      </c>
      <c r="U89" s="129">
        <v>22000</v>
      </c>
      <c r="V89" s="130">
        <v>381507</v>
      </c>
      <c r="W89" s="128">
        <v>0</v>
      </c>
      <c r="X89" s="128">
        <v>1</v>
      </c>
      <c r="Y89" s="131" t="str">
        <f ca="1">IF(ISBLANK(BudgetsTable[[#This Row],[budg_seq_yr]]),"FY"&amp;fiscalyear,"FY"&amp;fiscalyear-1+BudgetsTable[[#This Row],[budg_seq_yr]])</f>
        <v>FY18</v>
      </c>
      <c r="Z89" s="129">
        <v>381507</v>
      </c>
      <c r="AA89" s="128" t="s">
        <v>741</v>
      </c>
      <c r="AB89" s="128" t="s">
        <v>901</v>
      </c>
      <c r="AC89" s="126" t="s">
        <v>94</v>
      </c>
      <c r="AD89" s="128" t="s">
        <v>1987</v>
      </c>
    </row>
    <row r="90" spans="1:30">
      <c r="A90" s="125" t="s">
        <v>1081</v>
      </c>
      <c r="B90" s="126" t="s">
        <v>96</v>
      </c>
      <c r="C90" s="126">
        <f>C89+(BudgetsTable[[#This Row],[lead]]&lt;&gt;K89)</f>
        <v>22</v>
      </c>
      <c r="D90" s="126">
        <f>D89*(BudgetsTable[[#This Row],[lead]]=K89)+(BudgetsTable[[#This Row],[prop_id]]&lt;&gt;A89)</f>
        <v>1</v>
      </c>
      <c r="E90" s="127">
        <v>42809.441666666666</v>
      </c>
      <c r="F90" s="128" t="s">
        <v>1965</v>
      </c>
      <c r="G90" s="128" t="s">
        <v>741</v>
      </c>
      <c r="H90" s="128" t="s">
        <v>901</v>
      </c>
      <c r="I90" s="126" t="s">
        <v>540</v>
      </c>
      <c r="J90" s="126" t="s">
        <v>13</v>
      </c>
      <c r="K90" s="128" t="s">
        <v>1081</v>
      </c>
      <c r="L90" s="7" t="str">
        <f>IF(BudgetsTable[[#This Row],[pi_last_name]]=" ","",HYPERLINK("https://www.ejacket.nsf.gov/ej/showProposal.do?Continue=Y&amp;ID="&amp;BudgetsTable[[#This Row],[prop_id]],BudgetsTable[[#This Row],[prop_id]]))</f>
        <v/>
      </c>
      <c r="M90" s="15" t="str">
        <f>IF(BudgetsTable[[#This Row],[pi_last_name]]=" ","",HYPERLINK("https://www.ejacket.nsf.gov/ej/processReviewAnalysis.do?dispatch=add&amp;uniqId="&amp;BudgetsTable[[#This Row],[prop_id]]&amp;PO_id,"&gt;ra"))</f>
        <v/>
      </c>
      <c r="N90" s="128" t="s">
        <v>13</v>
      </c>
      <c r="O90" s="7" t="str">
        <f>IF(BudgetsTable[[#This Row],[pi_last_name]]=" ","",HYPERLINK("mailto:"&amp;BudgetsTable[[#This Row],[pi_email]]&amp;"&amp;subject=Your NSF Proposal:  "&amp;BudgetsTable[[#This Row],[prop_id]],BudgetsTable[[#This Row],[pi_email]]))</f>
        <v/>
      </c>
      <c r="P90" s="128" t="s">
        <v>13</v>
      </c>
      <c r="Q90" s="128">
        <v>3</v>
      </c>
      <c r="R90" s="128">
        <v>6</v>
      </c>
      <c r="S90" s="129">
        <v>51861</v>
      </c>
      <c r="T90" s="129">
        <v>5000</v>
      </c>
      <c r="U90" s="129">
        <v>22000</v>
      </c>
      <c r="V90" s="130">
        <v>459605</v>
      </c>
      <c r="W90" s="128">
        <v>0</v>
      </c>
      <c r="X90" s="128">
        <v>2</v>
      </c>
      <c r="Y90" s="131" t="str">
        <f ca="1">IF(ISBLANK(BudgetsTable[[#This Row],[budg_seq_yr]]),"FY"&amp;fiscalyear,"FY"&amp;fiscalyear-1+BudgetsTable[[#This Row],[budg_seq_yr]])</f>
        <v>FY19</v>
      </c>
      <c r="Z90" s="129">
        <v>459605</v>
      </c>
      <c r="AA90" s="128" t="s">
        <v>741</v>
      </c>
      <c r="AB90" s="128" t="s">
        <v>901</v>
      </c>
      <c r="AC90" s="126" t="s">
        <v>94</v>
      </c>
      <c r="AD90" s="128" t="s">
        <v>1987</v>
      </c>
    </row>
    <row r="91" spans="1:30">
      <c r="A91" s="125" t="s">
        <v>1081</v>
      </c>
      <c r="B91" s="126" t="s">
        <v>96</v>
      </c>
      <c r="C91" s="126">
        <f>C90+(BudgetsTable[[#This Row],[lead]]&lt;&gt;K90)</f>
        <v>22</v>
      </c>
      <c r="D91" s="126">
        <f>D90*(BudgetsTable[[#This Row],[lead]]=K90)+(BudgetsTable[[#This Row],[prop_id]]&lt;&gt;A90)</f>
        <v>1</v>
      </c>
      <c r="E91" s="127">
        <v>42809.441666666666</v>
      </c>
      <c r="F91" s="128" t="s">
        <v>1965</v>
      </c>
      <c r="G91" s="128" t="s">
        <v>741</v>
      </c>
      <c r="H91" s="128" t="s">
        <v>901</v>
      </c>
      <c r="I91" s="126" t="s">
        <v>540</v>
      </c>
      <c r="J91" s="126" t="s">
        <v>13</v>
      </c>
      <c r="K91" s="128" t="s">
        <v>1081</v>
      </c>
      <c r="L91" s="7" t="str">
        <f>IF(BudgetsTable[[#This Row],[pi_last_name]]=" ","",HYPERLINK("https://www.ejacket.nsf.gov/ej/showProposal.do?Continue=Y&amp;ID="&amp;BudgetsTable[[#This Row],[prop_id]],BudgetsTable[[#This Row],[prop_id]]))</f>
        <v/>
      </c>
      <c r="M91" s="15" t="str">
        <f>IF(BudgetsTable[[#This Row],[pi_last_name]]=" ","",HYPERLINK("https://www.ejacket.nsf.gov/ej/processReviewAnalysis.do?dispatch=add&amp;uniqId="&amp;BudgetsTable[[#This Row],[prop_id]]&amp;PO_id,"&gt;ra"))</f>
        <v/>
      </c>
      <c r="N91" s="128" t="s">
        <v>13</v>
      </c>
      <c r="O91" s="7" t="str">
        <f>IF(BudgetsTable[[#This Row],[pi_last_name]]=" ","",HYPERLINK("mailto:"&amp;BudgetsTable[[#This Row],[pi_email]]&amp;"&amp;subject=Your NSF Proposal:  "&amp;BudgetsTable[[#This Row],[prop_id]],BudgetsTable[[#This Row],[pi_email]]))</f>
        <v/>
      </c>
      <c r="P91" s="128" t="s">
        <v>13</v>
      </c>
      <c r="Q91" s="128">
        <v>3</v>
      </c>
      <c r="R91" s="128">
        <v>6</v>
      </c>
      <c r="S91" s="129">
        <v>53417</v>
      </c>
      <c r="T91" s="129">
        <v>5000</v>
      </c>
      <c r="U91" s="129">
        <v>22000</v>
      </c>
      <c r="V91" s="130">
        <v>478051</v>
      </c>
      <c r="W91" s="128">
        <v>0</v>
      </c>
      <c r="X91" s="128">
        <v>3</v>
      </c>
      <c r="Y91" s="131" t="str">
        <f ca="1">IF(ISBLANK(BudgetsTable[[#This Row],[budg_seq_yr]]),"FY"&amp;fiscalyear,"FY"&amp;fiscalyear-1+BudgetsTable[[#This Row],[budg_seq_yr]])</f>
        <v>FY20</v>
      </c>
      <c r="Z91" s="129">
        <v>478051</v>
      </c>
      <c r="AA91" s="128" t="s">
        <v>741</v>
      </c>
      <c r="AB91" s="128" t="s">
        <v>901</v>
      </c>
      <c r="AC91" s="126" t="s">
        <v>94</v>
      </c>
      <c r="AD91" s="128" t="s">
        <v>1987</v>
      </c>
    </row>
    <row r="92" spans="1:30">
      <c r="A92" s="125" t="s">
        <v>1094</v>
      </c>
      <c r="B92" s="126" t="s">
        <v>96</v>
      </c>
      <c r="C92" s="126">
        <f>C91+(BudgetsTable[[#This Row],[lead]]&lt;&gt;K91)</f>
        <v>23</v>
      </c>
      <c r="D92" s="126">
        <f>D91*(BudgetsTable[[#This Row],[lead]]=K91)+(BudgetsTable[[#This Row],[prop_id]]&lt;&gt;A91)</f>
        <v>1</v>
      </c>
      <c r="E92" s="127">
        <v>42809.474999999999</v>
      </c>
      <c r="F92" s="128" t="s">
        <v>1965</v>
      </c>
      <c r="G92" s="128" t="s">
        <v>741</v>
      </c>
      <c r="H92" s="128" t="s">
        <v>901</v>
      </c>
      <c r="I92" s="126" t="s">
        <v>540</v>
      </c>
      <c r="J92" s="126" t="s">
        <v>2089</v>
      </c>
      <c r="K92" s="128" t="s">
        <v>1094</v>
      </c>
      <c r="L92" s="7" t="str">
        <f>IF(BudgetsTable[[#This Row],[pi_last_name]]=" ","",HYPERLINK("https://www.ejacket.nsf.gov/ej/showProposal.do?Continue=Y&amp;ID="&amp;BudgetsTable[[#This Row],[prop_id]],BudgetsTable[[#This Row],[prop_id]]))</f>
        <v>1740741</v>
      </c>
      <c r="M92" s="15" t="str">
        <f>IF(BudgetsTable[[#This Row],[pi_last_name]]=" ","",HYPERLINK("https://www.ejacket.nsf.gov/ej/processReviewAnalysis.do?dispatch=add&amp;uniqId="&amp;BudgetsTable[[#This Row],[prop_id]]&amp;PO_id,"&gt;ra"))</f>
        <v>&gt;ra</v>
      </c>
      <c r="N92" s="128" t="s">
        <v>1095</v>
      </c>
      <c r="O92" s="7" t="str">
        <f>IF(BudgetsTable[[#This Row],[pi_last_name]]=" ","",HYPERLINK("mailto:"&amp;BudgetsTable[[#This Row],[pi_email]]&amp;"&amp;subject=Your NSF Proposal:  "&amp;BudgetsTable[[#This Row],[prop_id]],BudgetsTable[[#This Row],[pi_email]]))</f>
        <v>Jeff_Brock@brown.edu</v>
      </c>
      <c r="P92" s="128" t="s">
        <v>2087</v>
      </c>
      <c r="Q92" s="128"/>
      <c r="R92" s="128"/>
      <c r="S92" s="129"/>
      <c r="T92" s="129"/>
      <c r="U92" s="129"/>
      <c r="V92" s="130"/>
      <c r="W92" s="128">
        <v>0</v>
      </c>
      <c r="X92" s="128"/>
      <c r="Y92" s="131" t="str">
        <f ca="1">IF(ISBLANK(BudgetsTable[[#This Row],[budg_seq_yr]]),"FY"&amp;fiscalyear,"FY"&amp;fiscalyear-1+BudgetsTable[[#This Row],[budg_seq_yr]])</f>
        <v>FY18</v>
      </c>
      <c r="Z92" s="129">
        <v>1482177</v>
      </c>
      <c r="AA92" s="128" t="s">
        <v>741</v>
      </c>
      <c r="AB92" s="128" t="s">
        <v>901</v>
      </c>
      <c r="AC92" s="126" t="s">
        <v>94</v>
      </c>
      <c r="AD92" s="128" t="s">
        <v>2085</v>
      </c>
    </row>
    <row r="93" spans="1:30">
      <c r="A93" s="125" t="s">
        <v>1094</v>
      </c>
      <c r="B93" s="126" t="s">
        <v>96</v>
      </c>
      <c r="C93" s="126">
        <f>C92+(BudgetsTable[[#This Row],[lead]]&lt;&gt;K92)</f>
        <v>23</v>
      </c>
      <c r="D93" s="126">
        <f>D92*(BudgetsTable[[#This Row],[lead]]=K92)+(BudgetsTable[[#This Row],[prop_id]]&lt;&gt;A92)</f>
        <v>1</v>
      </c>
      <c r="E93" s="127">
        <v>42809.474999999999</v>
      </c>
      <c r="F93" s="128" t="s">
        <v>1965</v>
      </c>
      <c r="G93" s="128" t="s">
        <v>741</v>
      </c>
      <c r="H93" s="128" t="s">
        <v>901</v>
      </c>
      <c r="I93" s="126" t="s">
        <v>540</v>
      </c>
      <c r="J93" s="126" t="s">
        <v>13</v>
      </c>
      <c r="K93" s="128" t="s">
        <v>1094</v>
      </c>
      <c r="L93" s="7" t="str">
        <f>IF(BudgetsTable[[#This Row],[pi_last_name]]=" ","",HYPERLINK("https://www.ejacket.nsf.gov/ej/showProposal.do?Continue=Y&amp;ID="&amp;BudgetsTable[[#This Row],[prop_id]],BudgetsTable[[#This Row],[prop_id]]))</f>
        <v/>
      </c>
      <c r="M93" s="15" t="str">
        <f>IF(BudgetsTable[[#This Row],[pi_last_name]]=" ","",HYPERLINK("https://www.ejacket.nsf.gov/ej/processReviewAnalysis.do?dispatch=add&amp;uniqId="&amp;BudgetsTable[[#This Row],[prop_id]]&amp;PO_id,"&gt;ra"))</f>
        <v/>
      </c>
      <c r="N93" s="128" t="s">
        <v>13</v>
      </c>
      <c r="O93" s="7" t="str">
        <f>IF(BudgetsTable[[#This Row],[pi_last_name]]=" ","",HYPERLINK("mailto:"&amp;BudgetsTable[[#This Row],[pi_email]]&amp;"&amp;subject=Your NSF Proposal:  "&amp;BudgetsTable[[#This Row],[prop_id]],BudgetsTable[[#This Row],[pi_email]]))</f>
        <v/>
      </c>
      <c r="P93" s="128" t="s">
        <v>13</v>
      </c>
      <c r="Q93" s="128">
        <v>5</v>
      </c>
      <c r="R93" s="128">
        <v>2.5</v>
      </c>
      <c r="S93" s="129">
        <v>68000</v>
      </c>
      <c r="T93" s="129">
        <v>0</v>
      </c>
      <c r="U93" s="129">
        <v>110000</v>
      </c>
      <c r="V93" s="130">
        <v>488794</v>
      </c>
      <c r="W93" s="128">
        <v>0</v>
      </c>
      <c r="X93" s="128">
        <v>1</v>
      </c>
      <c r="Y93" s="131" t="str">
        <f ca="1">IF(ISBLANK(BudgetsTable[[#This Row],[budg_seq_yr]]),"FY"&amp;fiscalyear,"FY"&amp;fiscalyear-1+BudgetsTable[[#This Row],[budg_seq_yr]])</f>
        <v>FY18</v>
      </c>
      <c r="Z93" s="129">
        <v>488794</v>
      </c>
      <c r="AA93" s="128" t="s">
        <v>741</v>
      </c>
      <c r="AB93" s="128" t="s">
        <v>901</v>
      </c>
      <c r="AC93" s="126" t="s">
        <v>94</v>
      </c>
      <c r="AD93" s="128" t="s">
        <v>2085</v>
      </c>
    </row>
    <row r="94" spans="1:30">
      <c r="A94" s="125" t="s">
        <v>1094</v>
      </c>
      <c r="B94" s="126" t="s">
        <v>96</v>
      </c>
      <c r="C94" s="126">
        <f>C93+(BudgetsTable[[#This Row],[lead]]&lt;&gt;K93)</f>
        <v>23</v>
      </c>
      <c r="D94" s="126">
        <f>D93*(BudgetsTable[[#This Row],[lead]]=K93)+(BudgetsTable[[#This Row],[prop_id]]&lt;&gt;A93)</f>
        <v>1</v>
      </c>
      <c r="E94" s="127">
        <v>42809.474999999999</v>
      </c>
      <c r="F94" s="128" t="s">
        <v>1965</v>
      </c>
      <c r="G94" s="128" t="s">
        <v>741</v>
      </c>
      <c r="H94" s="128" t="s">
        <v>901</v>
      </c>
      <c r="I94" s="126" t="s">
        <v>540</v>
      </c>
      <c r="J94" s="126" t="s">
        <v>13</v>
      </c>
      <c r="K94" s="128" t="s">
        <v>1094</v>
      </c>
      <c r="L94" s="7" t="str">
        <f>IF(BudgetsTable[[#This Row],[pi_last_name]]=" ","",HYPERLINK("https://www.ejacket.nsf.gov/ej/showProposal.do?Continue=Y&amp;ID="&amp;BudgetsTable[[#This Row],[prop_id]],BudgetsTable[[#This Row],[prop_id]]))</f>
        <v/>
      </c>
      <c r="M94" s="15" t="str">
        <f>IF(BudgetsTable[[#This Row],[pi_last_name]]=" ","",HYPERLINK("https://www.ejacket.nsf.gov/ej/processReviewAnalysis.do?dispatch=add&amp;uniqId="&amp;BudgetsTable[[#This Row],[prop_id]]&amp;PO_id,"&gt;ra"))</f>
        <v/>
      </c>
      <c r="N94" s="128" t="s">
        <v>13</v>
      </c>
      <c r="O94" s="7" t="str">
        <f>IF(BudgetsTable[[#This Row],[pi_last_name]]=" ","",HYPERLINK("mailto:"&amp;BudgetsTable[[#This Row],[pi_email]]&amp;"&amp;subject=Your NSF Proposal:  "&amp;BudgetsTable[[#This Row],[prop_id]],BudgetsTable[[#This Row],[pi_email]]))</f>
        <v/>
      </c>
      <c r="P94" s="128" t="s">
        <v>13</v>
      </c>
      <c r="Q94" s="128">
        <v>5</v>
      </c>
      <c r="R94" s="128">
        <v>2.5</v>
      </c>
      <c r="S94" s="129">
        <v>68000</v>
      </c>
      <c r="T94" s="129">
        <v>0</v>
      </c>
      <c r="U94" s="129">
        <v>110000</v>
      </c>
      <c r="V94" s="130">
        <v>493991</v>
      </c>
      <c r="W94" s="128">
        <v>0</v>
      </c>
      <c r="X94" s="128">
        <v>2</v>
      </c>
      <c r="Y94" s="131" t="str">
        <f ca="1">IF(ISBLANK(BudgetsTable[[#This Row],[budg_seq_yr]]),"FY"&amp;fiscalyear,"FY"&amp;fiscalyear-1+BudgetsTable[[#This Row],[budg_seq_yr]])</f>
        <v>FY19</v>
      </c>
      <c r="Z94" s="129">
        <v>493991</v>
      </c>
      <c r="AA94" s="128" t="s">
        <v>741</v>
      </c>
      <c r="AB94" s="128" t="s">
        <v>901</v>
      </c>
      <c r="AC94" s="126" t="s">
        <v>94</v>
      </c>
      <c r="AD94" s="128" t="s">
        <v>2085</v>
      </c>
    </row>
    <row r="95" spans="1:30">
      <c r="A95" s="125" t="s">
        <v>1094</v>
      </c>
      <c r="B95" s="126" t="s">
        <v>96</v>
      </c>
      <c r="C95" s="126">
        <f>C94+(BudgetsTable[[#This Row],[lead]]&lt;&gt;K94)</f>
        <v>23</v>
      </c>
      <c r="D95" s="126">
        <f>D94*(BudgetsTable[[#This Row],[lead]]=K94)+(BudgetsTable[[#This Row],[prop_id]]&lt;&gt;A94)</f>
        <v>1</v>
      </c>
      <c r="E95" s="127">
        <v>42809.474999999999</v>
      </c>
      <c r="F95" s="128" t="s">
        <v>1965</v>
      </c>
      <c r="G95" s="128" t="s">
        <v>741</v>
      </c>
      <c r="H95" s="128" t="s">
        <v>901</v>
      </c>
      <c r="I95" s="126" t="s">
        <v>540</v>
      </c>
      <c r="J95" s="126" t="s">
        <v>13</v>
      </c>
      <c r="K95" s="128" t="s">
        <v>1094</v>
      </c>
      <c r="L95" s="7" t="str">
        <f>IF(BudgetsTable[[#This Row],[pi_last_name]]=" ","",HYPERLINK("https://www.ejacket.nsf.gov/ej/showProposal.do?Continue=Y&amp;ID="&amp;BudgetsTable[[#This Row],[prop_id]],BudgetsTable[[#This Row],[prop_id]]))</f>
        <v/>
      </c>
      <c r="M95" s="15" t="str">
        <f>IF(BudgetsTable[[#This Row],[pi_last_name]]=" ","",HYPERLINK("https://www.ejacket.nsf.gov/ej/processReviewAnalysis.do?dispatch=add&amp;uniqId="&amp;BudgetsTable[[#This Row],[prop_id]]&amp;PO_id,"&gt;ra"))</f>
        <v/>
      </c>
      <c r="N95" s="128" t="s">
        <v>13</v>
      </c>
      <c r="O95" s="7" t="str">
        <f>IF(BudgetsTable[[#This Row],[pi_last_name]]=" ","",HYPERLINK("mailto:"&amp;BudgetsTable[[#This Row],[pi_email]]&amp;"&amp;subject=Your NSF Proposal:  "&amp;BudgetsTable[[#This Row],[prop_id]],BudgetsTable[[#This Row],[pi_email]]))</f>
        <v/>
      </c>
      <c r="P95" s="128" t="s">
        <v>13</v>
      </c>
      <c r="Q95" s="128">
        <v>5</v>
      </c>
      <c r="R95" s="128">
        <v>2.5</v>
      </c>
      <c r="S95" s="129">
        <v>68000</v>
      </c>
      <c r="T95" s="129">
        <v>0</v>
      </c>
      <c r="U95" s="129">
        <v>110000</v>
      </c>
      <c r="V95" s="130">
        <v>499392</v>
      </c>
      <c r="W95" s="128">
        <v>0</v>
      </c>
      <c r="X95" s="128">
        <v>3</v>
      </c>
      <c r="Y95" s="131" t="str">
        <f ca="1">IF(ISBLANK(BudgetsTable[[#This Row],[budg_seq_yr]]),"FY"&amp;fiscalyear,"FY"&amp;fiscalyear-1+BudgetsTable[[#This Row],[budg_seq_yr]])</f>
        <v>FY20</v>
      </c>
      <c r="Z95" s="129">
        <v>499392</v>
      </c>
      <c r="AA95" s="128" t="s">
        <v>741</v>
      </c>
      <c r="AB95" s="128" t="s">
        <v>901</v>
      </c>
      <c r="AC95" s="126" t="s">
        <v>94</v>
      </c>
      <c r="AD95" s="128" t="s">
        <v>2085</v>
      </c>
    </row>
    <row r="96" spans="1:30">
      <c r="A96" s="125" t="s">
        <v>1112</v>
      </c>
      <c r="B96" s="126" t="s">
        <v>1981</v>
      </c>
      <c r="C96" s="126">
        <f>C95+(BudgetsTable[[#This Row],[lead]]&lt;&gt;K95)</f>
        <v>24</v>
      </c>
      <c r="D96" s="126">
        <f>D95*(BudgetsTable[[#This Row],[lead]]=K95)+(BudgetsTable[[#This Row],[prop_id]]&lt;&gt;A95)</f>
        <v>1</v>
      </c>
      <c r="E96" s="127">
        <v>42809.494444444441</v>
      </c>
      <c r="F96" s="128" t="s">
        <v>1965</v>
      </c>
      <c r="G96" s="128" t="s">
        <v>741</v>
      </c>
      <c r="H96" s="128" t="s">
        <v>901</v>
      </c>
      <c r="I96" s="126" t="s">
        <v>540</v>
      </c>
      <c r="J96" s="126" t="s">
        <v>2092</v>
      </c>
      <c r="K96" s="128" t="s">
        <v>1112</v>
      </c>
      <c r="L96" s="7" t="str">
        <f>IF(BudgetsTable[[#This Row],[pi_last_name]]=" ","",HYPERLINK("https://www.ejacket.nsf.gov/ej/showProposal.do?Continue=Y&amp;ID="&amp;BudgetsTable[[#This Row],[prop_id]],BudgetsTable[[#This Row],[prop_id]]))</f>
        <v>1740748</v>
      </c>
      <c r="M96" s="15" t="str">
        <f>IF(BudgetsTable[[#This Row],[pi_last_name]]=" ","",HYPERLINK("https://www.ejacket.nsf.gov/ej/processReviewAnalysis.do?dispatch=add&amp;uniqId="&amp;BudgetsTable[[#This Row],[prop_id]]&amp;PO_id,"&gt;ra"))</f>
        <v>&gt;ra</v>
      </c>
      <c r="N96" s="128" t="s">
        <v>1113</v>
      </c>
      <c r="O96" s="7" t="str">
        <f>IF(BudgetsTable[[#This Row],[pi_last_name]]=" ","",HYPERLINK("mailto:"&amp;BudgetsTable[[#This Row],[pi_email]]&amp;"&amp;subject=Your NSF Proposal:  "&amp;BudgetsTable[[#This Row],[prop_id]],BudgetsTable[[#This Row],[pi_email]]))</f>
        <v>EDELMAN@MATH.MIT.EDU</v>
      </c>
      <c r="P96" s="128" t="s">
        <v>775</v>
      </c>
      <c r="Q96" s="128"/>
      <c r="R96" s="128"/>
      <c r="S96" s="129"/>
      <c r="T96" s="129"/>
      <c r="U96" s="129"/>
      <c r="V96" s="130"/>
      <c r="W96" s="128">
        <v>0</v>
      </c>
      <c r="X96" s="128"/>
      <c r="Y96" s="131" t="str">
        <f ca="1">IF(ISBLANK(BudgetsTable[[#This Row],[budg_seq_yr]]),"FY"&amp;fiscalyear,"FY"&amp;fiscalyear-1+BudgetsTable[[#This Row],[budg_seq_yr]])</f>
        <v>FY18</v>
      </c>
      <c r="Z96" s="129">
        <v>600000</v>
      </c>
      <c r="AA96" s="128" t="s">
        <v>741</v>
      </c>
      <c r="AB96" s="128" t="s">
        <v>901</v>
      </c>
      <c r="AC96" s="126" t="s">
        <v>94</v>
      </c>
      <c r="AD96" s="128" t="s">
        <v>1968</v>
      </c>
    </row>
    <row r="97" spans="1:30">
      <c r="A97" s="125" t="s">
        <v>1112</v>
      </c>
      <c r="B97" s="126" t="s">
        <v>1981</v>
      </c>
      <c r="C97" s="126">
        <f>C96+(BudgetsTable[[#This Row],[lead]]&lt;&gt;K96)</f>
        <v>24</v>
      </c>
      <c r="D97" s="126">
        <f>D96*(BudgetsTable[[#This Row],[lead]]=K96)+(BudgetsTable[[#This Row],[prop_id]]&lt;&gt;A96)</f>
        <v>1</v>
      </c>
      <c r="E97" s="127">
        <v>42809.494444444441</v>
      </c>
      <c r="F97" s="128" t="s">
        <v>1965</v>
      </c>
      <c r="G97" s="128" t="s">
        <v>741</v>
      </c>
      <c r="H97" s="128" t="s">
        <v>901</v>
      </c>
      <c r="I97" s="126" t="s">
        <v>540</v>
      </c>
      <c r="J97" s="126" t="s">
        <v>13</v>
      </c>
      <c r="K97" s="128" t="s">
        <v>1112</v>
      </c>
      <c r="L97" s="7" t="str">
        <f>IF(BudgetsTable[[#This Row],[pi_last_name]]=" ","",HYPERLINK("https://www.ejacket.nsf.gov/ej/showProposal.do?Continue=Y&amp;ID="&amp;BudgetsTable[[#This Row],[prop_id]],BudgetsTable[[#This Row],[prop_id]]))</f>
        <v/>
      </c>
      <c r="M97" s="15" t="str">
        <f>IF(BudgetsTable[[#This Row],[pi_last_name]]=" ","",HYPERLINK("https://www.ejacket.nsf.gov/ej/processReviewAnalysis.do?dispatch=add&amp;uniqId="&amp;BudgetsTable[[#This Row],[prop_id]]&amp;PO_id,"&gt;ra"))</f>
        <v/>
      </c>
      <c r="N97" s="128" t="s">
        <v>13</v>
      </c>
      <c r="O97" s="7" t="str">
        <f>IF(BudgetsTable[[#This Row],[pi_last_name]]=" ","",HYPERLINK("mailto:"&amp;BudgetsTable[[#This Row],[pi_email]]&amp;"&amp;subject=Your NSF Proposal:  "&amp;BudgetsTable[[#This Row],[prop_id]],BudgetsTable[[#This Row],[pi_email]]))</f>
        <v/>
      </c>
      <c r="P97" s="128" t="s">
        <v>13</v>
      </c>
      <c r="Q97" s="128">
        <v>0</v>
      </c>
      <c r="R97" s="128">
        <v>0</v>
      </c>
      <c r="S97" s="129">
        <v>0</v>
      </c>
      <c r="T97" s="129">
        <v>0</v>
      </c>
      <c r="U97" s="129">
        <v>0</v>
      </c>
      <c r="V97" s="130">
        <v>200000</v>
      </c>
      <c r="W97" s="128">
        <v>0</v>
      </c>
      <c r="X97" s="128">
        <v>1</v>
      </c>
      <c r="Y97" s="131" t="str">
        <f ca="1">IF(ISBLANK(BudgetsTable[[#This Row],[budg_seq_yr]]),"FY"&amp;fiscalyear,"FY"&amp;fiscalyear-1+BudgetsTable[[#This Row],[budg_seq_yr]])</f>
        <v>FY18</v>
      </c>
      <c r="Z97" s="129">
        <v>200000</v>
      </c>
      <c r="AA97" s="128" t="s">
        <v>741</v>
      </c>
      <c r="AB97" s="128" t="s">
        <v>901</v>
      </c>
      <c r="AC97" s="126" t="s">
        <v>94</v>
      </c>
      <c r="AD97" s="128" t="s">
        <v>1968</v>
      </c>
    </row>
    <row r="98" spans="1:30">
      <c r="A98" s="125" t="s">
        <v>1112</v>
      </c>
      <c r="B98" s="126" t="s">
        <v>1981</v>
      </c>
      <c r="C98" s="126">
        <f>C97+(BudgetsTable[[#This Row],[lead]]&lt;&gt;K97)</f>
        <v>24</v>
      </c>
      <c r="D98" s="126">
        <f>D97*(BudgetsTable[[#This Row],[lead]]=K97)+(BudgetsTable[[#This Row],[prop_id]]&lt;&gt;A97)</f>
        <v>1</v>
      </c>
      <c r="E98" s="127">
        <v>42809.494444444441</v>
      </c>
      <c r="F98" s="128" t="s">
        <v>1965</v>
      </c>
      <c r="G98" s="128" t="s">
        <v>741</v>
      </c>
      <c r="H98" s="128" t="s">
        <v>901</v>
      </c>
      <c r="I98" s="126" t="s">
        <v>540</v>
      </c>
      <c r="J98" s="126" t="s">
        <v>13</v>
      </c>
      <c r="K98" s="128" t="s">
        <v>1112</v>
      </c>
      <c r="L98" s="7" t="str">
        <f>IF(BudgetsTable[[#This Row],[pi_last_name]]=" ","",HYPERLINK("https://www.ejacket.nsf.gov/ej/showProposal.do?Continue=Y&amp;ID="&amp;BudgetsTable[[#This Row],[prop_id]],BudgetsTable[[#This Row],[prop_id]]))</f>
        <v/>
      </c>
      <c r="M98" s="15" t="str">
        <f>IF(BudgetsTable[[#This Row],[pi_last_name]]=" ","",HYPERLINK("https://www.ejacket.nsf.gov/ej/processReviewAnalysis.do?dispatch=add&amp;uniqId="&amp;BudgetsTable[[#This Row],[prop_id]]&amp;PO_id,"&gt;ra"))</f>
        <v/>
      </c>
      <c r="N98" s="128" t="s">
        <v>13</v>
      </c>
      <c r="O98" s="7" t="str">
        <f>IF(BudgetsTable[[#This Row],[pi_last_name]]=" ","",HYPERLINK("mailto:"&amp;BudgetsTable[[#This Row],[pi_email]]&amp;"&amp;subject=Your NSF Proposal:  "&amp;BudgetsTable[[#This Row],[prop_id]],BudgetsTable[[#This Row],[pi_email]]))</f>
        <v/>
      </c>
      <c r="P98" s="128" t="s">
        <v>13</v>
      </c>
      <c r="Q98" s="128">
        <v>0</v>
      </c>
      <c r="R98" s="128">
        <v>0</v>
      </c>
      <c r="S98" s="129">
        <v>0</v>
      </c>
      <c r="T98" s="129">
        <v>0</v>
      </c>
      <c r="U98" s="129">
        <v>0</v>
      </c>
      <c r="V98" s="130">
        <v>200000</v>
      </c>
      <c r="W98" s="128">
        <v>0</v>
      </c>
      <c r="X98" s="128">
        <v>2</v>
      </c>
      <c r="Y98" s="131" t="str">
        <f ca="1">IF(ISBLANK(BudgetsTable[[#This Row],[budg_seq_yr]]),"FY"&amp;fiscalyear,"FY"&amp;fiscalyear-1+BudgetsTable[[#This Row],[budg_seq_yr]])</f>
        <v>FY19</v>
      </c>
      <c r="Z98" s="129">
        <v>200000</v>
      </c>
      <c r="AA98" s="128" t="s">
        <v>741</v>
      </c>
      <c r="AB98" s="128" t="s">
        <v>901</v>
      </c>
      <c r="AC98" s="126" t="s">
        <v>94</v>
      </c>
      <c r="AD98" s="128" t="s">
        <v>1968</v>
      </c>
    </row>
    <row r="99" spans="1:30">
      <c r="A99" s="125" t="s">
        <v>1112</v>
      </c>
      <c r="B99" s="126" t="s">
        <v>1981</v>
      </c>
      <c r="C99" s="126">
        <f>C98+(BudgetsTable[[#This Row],[lead]]&lt;&gt;K98)</f>
        <v>24</v>
      </c>
      <c r="D99" s="126">
        <f>D98*(BudgetsTable[[#This Row],[lead]]=K98)+(BudgetsTable[[#This Row],[prop_id]]&lt;&gt;A98)</f>
        <v>1</v>
      </c>
      <c r="E99" s="127">
        <v>42809.494444444441</v>
      </c>
      <c r="F99" s="128" t="s">
        <v>1965</v>
      </c>
      <c r="G99" s="128" t="s">
        <v>741</v>
      </c>
      <c r="H99" s="128" t="s">
        <v>901</v>
      </c>
      <c r="I99" s="126" t="s">
        <v>540</v>
      </c>
      <c r="J99" s="126" t="s">
        <v>13</v>
      </c>
      <c r="K99" s="128" t="s">
        <v>1112</v>
      </c>
      <c r="L99" s="7" t="str">
        <f>IF(BudgetsTable[[#This Row],[pi_last_name]]=" ","",HYPERLINK("https://www.ejacket.nsf.gov/ej/showProposal.do?Continue=Y&amp;ID="&amp;BudgetsTable[[#This Row],[prop_id]],BudgetsTable[[#This Row],[prop_id]]))</f>
        <v/>
      </c>
      <c r="M99" s="15" t="str">
        <f>IF(BudgetsTable[[#This Row],[pi_last_name]]=" ","",HYPERLINK("https://www.ejacket.nsf.gov/ej/processReviewAnalysis.do?dispatch=add&amp;uniqId="&amp;BudgetsTable[[#This Row],[prop_id]]&amp;PO_id,"&gt;ra"))</f>
        <v/>
      </c>
      <c r="N99" s="128" t="s">
        <v>13</v>
      </c>
      <c r="O99" s="7" t="str">
        <f>IF(BudgetsTable[[#This Row],[pi_last_name]]=" ","",HYPERLINK("mailto:"&amp;BudgetsTable[[#This Row],[pi_email]]&amp;"&amp;subject=Your NSF Proposal:  "&amp;BudgetsTable[[#This Row],[prop_id]],BudgetsTable[[#This Row],[pi_email]]))</f>
        <v/>
      </c>
      <c r="P99" s="128" t="s">
        <v>13</v>
      </c>
      <c r="Q99" s="128">
        <v>0</v>
      </c>
      <c r="R99" s="128">
        <v>0</v>
      </c>
      <c r="S99" s="129">
        <v>0</v>
      </c>
      <c r="T99" s="129">
        <v>0</v>
      </c>
      <c r="U99" s="129">
        <v>0</v>
      </c>
      <c r="V99" s="130">
        <v>200000</v>
      </c>
      <c r="W99" s="128">
        <v>0</v>
      </c>
      <c r="X99" s="128">
        <v>3</v>
      </c>
      <c r="Y99" s="131" t="str">
        <f ca="1">IF(ISBLANK(BudgetsTable[[#This Row],[budg_seq_yr]]),"FY"&amp;fiscalyear,"FY"&amp;fiscalyear-1+BudgetsTable[[#This Row],[budg_seq_yr]])</f>
        <v>FY20</v>
      </c>
      <c r="Z99" s="129">
        <v>200000</v>
      </c>
      <c r="AA99" s="128" t="s">
        <v>741</v>
      </c>
      <c r="AB99" s="128" t="s">
        <v>901</v>
      </c>
      <c r="AC99" s="126" t="s">
        <v>94</v>
      </c>
      <c r="AD99" s="128" t="s">
        <v>1968</v>
      </c>
    </row>
    <row r="100" spans="1:30">
      <c r="A100" s="125" t="s">
        <v>2093</v>
      </c>
      <c r="B100" s="126" t="s">
        <v>1989</v>
      </c>
      <c r="C100" s="126">
        <f>C99+(BudgetsTable[[#This Row],[lead]]&lt;&gt;K99)</f>
        <v>24</v>
      </c>
      <c r="D100" s="126">
        <f>D99*(BudgetsTable[[#This Row],[lead]]=K99)+(BudgetsTable[[#This Row],[prop_id]]&lt;&gt;A99)</f>
        <v>2</v>
      </c>
      <c r="E100" s="127">
        <v>42808.49722222222</v>
      </c>
      <c r="F100" s="128" t="s">
        <v>1965</v>
      </c>
      <c r="G100" s="128" t="s">
        <v>741</v>
      </c>
      <c r="H100" s="128" t="s">
        <v>901</v>
      </c>
      <c r="I100" s="126" t="s">
        <v>540</v>
      </c>
      <c r="J100" s="126" t="s">
        <v>2097</v>
      </c>
      <c r="K100" s="128" t="s">
        <v>1112</v>
      </c>
      <c r="L100" s="7" t="str">
        <f>IF(BudgetsTable[[#This Row],[pi_last_name]]=" ","",HYPERLINK("https://www.ejacket.nsf.gov/ej/showProposal.do?Continue=Y&amp;ID="&amp;BudgetsTable[[#This Row],[prop_id]],BudgetsTable[[#This Row],[prop_id]]))</f>
        <v>1740642</v>
      </c>
      <c r="M100" s="15" t="str">
        <f>IF(BudgetsTable[[#This Row],[pi_last_name]]=" ","",HYPERLINK("https://www.ejacket.nsf.gov/ej/processReviewAnalysis.do?dispatch=add&amp;uniqId="&amp;BudgetsTable[[#This Row],[prop_id]]&amp;PO_id,"&gt;ra"))</f>
        <v>&gt;ra</v>
      </c>
      <c r="N100" s="128" t="s">
        <v>2094</v>
      </c>
      <c r="O100" s="7" t="str">
        <f>IF(BudgetsTable[[#This Row],[pi_last_name]]=" ","",HYPERLINK("mailto:"&amp;BudgetsTable[[#This Row],[pi_email]]&amp;"&amp;subject=Your NSF Proposal:  "&amp;BudgetsTable[[#This Row],[prop_id]],BudgetsTable[[#This Row],[pi_email]]))</f>
        <v>johnq@jimmy.harvard.edu</v>
      </c>
      <c r="P100" s="128" t="s">
        <v>2096</v>
      </c>
      <c r="Q100" s="128"/>
      <c r="R100" s="128"/>
      <c r="S100" s="129"/>
      <c r="T100" s="129"/>
      <c r="U100" s="129"/>
      <c r="V100" s="130"/>
      <c r="W100" s="128">
        <v>0</v>
      </c>
      <c r="X100" s="128"/>
      <c r="Y100" s="131" t="str">
        <f ca="1">IF(ISBLANK(BudgetsTable[[#This Row],[budg_seq_yr]]),"FY"&amp;fiscalyear,"FY"&amp;fiscalyear-1+BudgetsTable[[#This Row],[budg_seq_yr]])</f>
        <v>FY18</v>
      </c>
      <c r="Z100" s="129">
        <v>450000</v>
      </c>
      <c r="AA100" s="128" t="s">
        <v>741</v>
      </c>
      <c r="AB100" s="128" t="s">
        <v>901</v>
      </c>
      <c r="AC100" s="126" t="s">
        <v>94</v>
      </c>
      <c r="AD100" s="128" t="s">
        <v>1968</v>
      </c>
    </row>
    <row r="101" spans="1:30">
      <c r="A101" s="125" t="s">
        <v>2093</v>
      </c>
      <c r="B101" s="126" t="s">
        <v>1989</v>
      </c>
      <c r="C101" s="126">
        <f>C100+(BudgetsTable[[#This Row],[lead]]&lt;&gt;K100)</f>
        <v>24</v>
      </c>
      <c r="D101" s="126">
        <f>D100*(BudgetsTable[[#This Row],[lead]]=K100)+(BudgetsTable[[#This Row],[prop_id]]&lt;&gt;A100)</f>
        <v>2</v>
      </c>
      <c r="E101" s="127">
        <v>42808.49722222222</v>
      </c>
      <c r="F101" s="128" t="s">
        <v>1965</v>
      </c>
      <c r="G101" s="128" t="s">
        <v>741</v>
      </c>
      <c r="H101" s="128" t="s">
        <v>901</v>
      </c>
      <c r="I101" s="126" t="s">
        <v>540</v>
      </c>
      <c r="J101" s="126" t="s">
        <v>13</v>
      </c>
      <c r="K101" s="128" t="s">
        <v>1112</v>
      </c>
      <c r="L101" s="7" t="str">
        <f>IF(BudgetsTable[[#This Row],[pi_last_name]]=" ","",HYPERLINK("https://www.ejacket.nsf.gov/ej/showProposal.do?Continue=Y&amp;ID="&amp;BudgetsTable[[#This Row],[prop_id]],BudgetsTable[[#This Row],[prop_id]]))</f>
        <v/>
      </c>
      <c r="M101" s="15" t="str">
        <f>IF(BudgetsTable[[#This Row],[pi_last_name]]=" ","",HYPERLINK("https://www.ejacket.nsf.gov/ej/processReviewAnalysis.do?dispatch=add&amp;uniqId="&amp;BudgetsTable[[#This Row],[prop_id]]&amp;PO_id,"&gt;ra"))</f>
        <v/>
      </c>
      <c r="N101" s="128" t="s">
        <v>13</v>
      </c>
      <c r="O101" s="7" t="str">
        <f>IF(BudgetsTable[[#This Row],[pi_last_name]]=" ","",HYPERLINK("mailto:"&amp;BudgetsTable[[#This Row],[pi_email]]&amp;"&amp;subject=Your NSF Proposal:  "&amp;BudgetsTable[[#This Row],[prop_id]],BudgetsTable[[#This Row],[pi_email]]))</f>
        <v/>
      </c>
      <c r="P101" s="128" t="s">
        <v>13</v>
      </c>
      <c r="Q101" s="128">
        <v>1</v>
      </c>
      <c r="R101" s="128">
        <v>0</v>
      </c>
      <c r="S101" s="129">
        <v>37358</v>
      </c>
      <c r="T101" s="129">
        <v>0</v>
      </c>
      <c r="U101" s="129">
        <v>0</v>
      </c>
      <c r="V101" s="130">
        <v>150000</v>
      </c>
      <c r="W101" s="128">
        <v>0</v>
      </c>
      <c r="X101" s="128">
        <v>1</v>
      </c>
      <c r="Y101" s="131" t="str">
        <f ca="1">IF(ISBLANK(BudgetsTable[[#This Row],[budg_seq_yr]]),"FY"&amp;fiscalyear,"FY"&amp;fiscalyear-1+BudgetsTable[[#This Row],[budg_seq_yr]])</f>
        <v>FY18</v>
      </c>
      <c r="Z101" s="129">
        <v>150000</v>
      </c>
      <c r="AA101" s="128" t="s">
        <v>741</v>
      </c>
      <c r="AB101" s="128" t="s">
        <v>901</v>
      </c>
      <c r="AC101" s="126" t="s">
        <v>94</v>
      </c>
      <c r="AD101" s="128" t="s">
        <v>1968</v>
      </c>
    </row>
    <row r="102" spans="1:30">
      <c r="A102" s="125" t="s">
        <v>2093</v>
      </c>
      <c r="B102" s="126" t="s">
        <v>1989</v>
      </c>
      <c r="C102" s="126">
        <f>C101+(BudgetsTable[[#This Row],[lead]]&lt;&gt;K101)</f>
        <v>24</v>
      </c>
      <c r="D102" s="126">
        <f>D101*(BudgetsTable[[#This Row],[lead]]=K101)+(BudgetsTable[[#This Row],[prop_id]]&lt;&gt;A101)</f>
        <v>2</v>
      </c>
      <c r="E102" s="127">
        <v>42808.49722222222</v>
      </c>
      <c r="F102" s="128" t="s">
        <v>1965</v>
      </c>
      <c r="G102" s="128" t="s">
        <v>741</v>
      </c>
      <c r="H102" s="128" t="s">
        <v>901</v>
      </c>
      <c r="I102" s="126" t="s">
        <v>540</v>
      </c>
      <c r="J102" s="126" t="s">
        <v>13</v>
      </c>
      <c r="K102" s="128" t="s">
        <v>1112</v>
      </c>
      <c r="L102" s="7" t="str">
        <f>IF(BudgetsTable[[#This Row],[pi_last_name]]=" ","",HYPERLINK("https://www.ejacket.nsf.gov/ej/showProposal.do?Continue=Y&amp;ID="&amp;BudgetsTable[[#This Row],[prop_id]],BudgetsTable[[#This Row],[prop_id]]))</f>
        <v/>
      </c>
      <c r="M102" s="15" t="str">
        <f>IF(BudgetsTable[[#This Row],[pi_last_name]]=" ","",HYPERLINK("https://www.ejacket.nsf.gov/ej/processReviewAnalysis.do?dispatch=add&amp;uniqId="&amp;BudgetsTable[[#This Row],[prop_id]]&amp;PO_id,"&gt;ra"))</f>
        <v/>
      </c>
      <c r="N102" s="128" t="s">
        <v>13</v>
      </c>
      <c r="O102" s="7" t="str">
        <f>IF(BudgetsTable[[#This Row],[pi_last_name]]=" ","",HYPERLINK("mailto:"&amp;BudgetsTable[[#This Row],[pi_email]]&amp;"&amp;subject=Your NSF Proposal:  "&amp;BudgetsTable[[#This Row],[prop_id]],BudgetsTable[[#This Row],[pi_email]]))</f>
        <v/>
      </c>
      <c r="P102" s="128" t="s">
        <v>13</v>
      </c>
      <c r="Q102" s="128">
        <v>1</v>
      </c>
      <c r="R102" s="128">
        <v>0</v>
      </c>
      <c r="S102" s="129">
        <v>38479</v>
      </c>
      <c r="T102" s="129">
        <v>0</v>
      </c>
      <c r="U102" s="129">
        <v>0</v>
      </c>
      <c r="V102" s="130">
        <v>150000</v>
      </c>
      <c r="W102" s="128">
        <v>0</v>
      </c>
      <c r="X102" s="128">
        <v>2</v>
      </c>
      <c r="Y102" s="131" t="str">
        <f ca="1">IF(ISBLANK(BudgetsTable[[#This Row],[budg_seq_yr]]),"FY"&amp;fiscalyear,"FY"&amp;fiscalyear-1+BudgetsTable[[#This Row],[budg_seq_yr]])</f>
        <v>FY19</v>
      </c>
      <c r="Z102" s="129">
        <v>150000</v>
      </c>
      <c r="AA102" s="128" t="s">
        <v>741</v>
      </c>
      <c r="AB102" s="128" t="s">
        <v>901</v>
      </c>
      <c r="AC102" s="126" t="s">
        <v>94</v>
      </c>
      <c r="AD102" s="128" t="s">
        <v>1968</v>
      </c>
    </row>
    <row r="103" spans="1:30">
      <c r="A103" s="125" t="s">
        <v>2093</v>
      </c>
      <c r="B103" s="126" t="s">
        <v>1989</v>
      </c>
      <c r="C103" s="126">
        <f>C102+(BudgetsTable[[#This Row],[lead]]&lt;&gt;K102)</f>
        <v>24</v>
      </c>
      <c r="D103" s="126">
        <f>D102*(BudgetsTable[[#This Row],[lead]]=K102)+(BudgetsTable[[#This Row],[prop_id]]&lt;&gt;A102)</f>
        <v>2</v>
      </c>
      <c r="E103" s="127">
        <v>42808.49722222222</v>
      </c>
      <c r="F103" s="128" t="s">
        <v>1965</v>
      </c>
      <c r="G103" s="128" t="s">
        <v>741</v>
      </c>
      <c r="H103" s="128" t="s">
        <v>901</v>
      </c>
      <c r="I103" s="126" t="s">
        <v>540</v>
      </c>
      <c r="J103" s="126" t="s">
        <v>13</v>
      </c>
      <c r="K103" s="128" t="s">
        <v>1112</v>
      </c>
      <c r="L103" s="7" t="str">
        <f>IF(BudgetsTable[[#This Row],[pi_last_name]]=" ","",HYPERLINK("https://www.ejacket.nsf.gov/ej/showProposal.do?Continue=Y&amp;ID="&amp;BudgetsTable[[#This Row],[prop_id]],BudgetsTable[[#This Row],[prop_id]]))</f>
        <v/>
      </c>
      <c r="M103" s="15" t="str">
        <f>IF(BudgetsTable[[#This Row],[pi_last_name]]=" ","",HYPERLINK("https://www.ejacket.nsf.gov/ej/processReviewAnalysis.do?dispatch=add&amp;uniqId="&amp;BudgetsTable[[#This Row],[prop_id]]&amp;PO_id,"&gt;ra"))</f>
        <v/>
      </c>
      <c r="N103" s="128" t="s">
        <v>13</v>
      </c>
      <c r="O103" s="7" t="str">
        <f>IF(BudgetsTable[[#This Row],[pi_last_name]]=" ","",HYPERLINK("mailto:"&amp;BudgetsTable[[#This Row],[pi_email]]&amp;"&amp;subject=Your NSF Proposal:  "&amp;BudgetsTable[[#This Row],[prop_id]],BudgetsTable[[#This Row],[pi_email]]))</f>
        <v/>
      </c>
      <c r="P103" s="128" t="s">
        <v>13</v>
      </c>
      <c r="Q103" s="128">
        <v>1</v>
      </c>
      <c r="R103" s="128">
        <v>0</v>
      </c>
      <c r="S103" s="129">
        <v>39633</v>
      </c>
      <c r="T103" s="129">
        <v>0</v>
      </c>
      <c r="U103" s="129">
        <v>0</v>
      </c>
      <c r="V103" s="130">
        <v>150000</v>
      </c>
      <c r="W103" s="128">
        <v>0</v>
      </c>
      <c r="X103" s="128">
        <v>3</v>
      </c>
      <c r="Y103" s="131" t="str">
        <f ca="1">IF(ISBLANK(BudgetsTable[[#This Row],[budg_seq_yr]]),"FY"&amp;fiscalyear,"FY"&amp;fiscalyear-1+BudgetsTable[[#This Row],[budg_seq_yr]])</f>
        <v>FY20</v>
      </c>
      <c r="Z103" s="129">
        <v>150000</v>
      </c>
      <c r="AA103" s="128" t="s">
        <v>741</v>
      </c>
      <c r="AB103" s="128" t="s">
        <v>901</v>
      </c>
      <c r="AC103" s="126" t="s">
        <v>94</v>
      </c>
      <c r="AD103" s="128" t="s">
        <v>1968</v>
      </c>
    </row>
    <row r="104" spans="1:30">
      <c r="A104" s="125" t="s">
        <v>2098</v>
      </c>
      <c r="B104" s="126" t="s">
        <v>1989</v>
      </c>
      <c r="C104" s="126">
        <f>C103+(BudgetsTable[[#This Row],[lead]]&lt;&gt;K103)</f>
        <v>24</v>
      </c>
      <c r="D104" s="126">
        <f>D103*(BudgetsTable[[#This Row],[lead]]=K103)+(BudgetsTable[[#This Row],[prop_id]]&lt;&gt;A103)</f>
        <v>3</v>
      </c>
      <c r="E104" s="127">
        <v>42809.477083333331</v>
      </c>
      <c r="F104" s="128" t="s">
        <v>1965</v>
      </c>
      <c r="G104" s="128" t="s">
        <v>741</v>
      </c>
      <c r="H104" s="128" t="s">
        <v>901</v>
      </c>
      <c r="I104" s="126" t="s">
        <v>540</v>
      </c>
      <c r="J104" s="126" t="s">
        <v>2102</v>
      </c>
      <c r="K104" s="128" t="s">
        <v>1112</v>
      </c>
      <c r="L104" s="7" t="str">
        <f>IF(BudgetsTable[[#This Row],[pi_last_name]]=" ","",HYPERLINK("https://www.ejacket.nsf.gov/ej/showProposal.do?Continue=Y&amp;ID="&amp;BudgetsTable[[#This Row],[prop_id]],BudgetsTable[[#This Row],[prop_id]]))</f>
        <v>1740744</v>
      </c>
      <c r="M104" s="15" t="str">
        <f>IF(BudgetsTable[[#This Row],[pi_last_name]]=" ","",HYPERLINK("https://www.ejacket.nsf.gov/ej/processReviewAnalysis.do?dispatch=add&amp;uniqId="&amp;BudgetsTable[[#This Row],[prop_id]]&amp;PO_id,"&gt;ra"))</f>
        <v>&gt;ra</v>
      </c>
      <c r="N104" s="128" t="s">
        <v>2099</v>
      </c>
      <c r="O104" s="7" t="str">
        <f>IF(BudgetsTable[[#This Row],[pi_last_name]]=" ","",HYPERLINK("mailto:"&amp;BudgetsTable[[#This Row],[pi_email]]&amp;"&amp;subject=Your NSF Proposal:  "&amp;BudgetsTable[[#This Row],[prop_id]],BudgetsTable[[#This Row],[pi_email]]))</f>
        <v>gelman@stat.columbia.edu</v>
      </c>
      <c r="P104" s="128" t="s">
        <v>2101</v>
      </c>
      <c r="Q104" s="128"/>
      <c r="R104" s="128"/>
      <c r="S104" s="129"/>
      <c r="T104" s="129"/>
      <c r="U104" s="129"/>
      <c r="V104" s="130"/>
      <c r="W104" s="128">
        <v>1</v>
      </c>
      <c r="X104" s="128"/>
      <c r="Y104" s="131" t="str">
        <f ca="1">IF(ISBLANK(BudgetsTable[[#This Row],[budg_seq_yr]]),"FY"&amp;fiscalyear,"FY"&amp;fiscalyear-1+BudgetsTable[[#This Row],[budg_seq_yr]])</f>
        <v>FY18</v>
      </c>
      <c r="Z104" s="129">
        <v>438059</v>
      </c>
      <c r="AA104" s="128" t="s">
        <v>741</v>
      </c>
      <c r="AB104" s="128" t="s">
        <v>901</v>
      </c>
      <c r="AC104" s="126" t="s">
        <v>94</v>
      </c>
      <c r="AD104" s="128" t="s">
        <v>1968</v>
      </c>
    </row>
    <row r="105" spans="1:30">
      <c r="A105" s="125" t="s">
        <v>2098</v>
      </c>
      <c r="B105" s="126" t="s">
        <v>1989</v>
      </c>
      <c r="C105" s="126">
        <f>C104+(BudgetsTable[[#This Row],[lead]]&lt;&gt;K104)</f>
        <v>24</v>
      </c>
      <c r="D105" s="126">
        <f>D104*(BudgetsTable[[#This Row],[lead]]=K104)+(BudgetsTable[[#This Row],[prop_id]]&lt;&gt;A104)</f>
        <v>3</v>
      </c>
      <c r="E105" s="127">
        <v>42809.477083333331</v>
      </c>
      <c r="F105" s="128" t="s">
        <v>1965</v>
      </c>
      <c r="G105" s="128" t="s">
        <v>741</v>
      </c>
      <c r="H105" s="128" t="s">
        <v>901</v>
      </c>
      <c r="I105" s="126" t="s">
        <v>540</v>
      </c>
      <c r="J105" s="126" t="s">
        <v>13</v>
      </c>
      <c r="K105" s="128" t="s">
        <v>1112</v>
      </c>
      <c r="L105" s="7" t="str">
        <f>IF(BudgetsTable[[#This Row],[pi_last_name]]=" ","",HYPERLINK("https://www.ejacket.nsf.gov/ej/showProposal.do?Continue=Y&amp;ID="&amp;BudgetsTable[[#This Row],[prop_id]],BudgetsTable[[#This Row],[prop_id]]))</f>
        <v/>
      </c>
      <c r="M105" s="15" t="str">
        <f>IF(BudgetsTable[[#This Row],[pi_last_name]]=" ","",HYPERLINK("https://www.ejacket.nsf.gov/ej/processReviewAnalysis.do?dispatch=add&amp;uniqId="&amp;BudgetsTable[[#This Row],[prop_id]]&amp;PO_id,"&gt;ra"))</f>
        <v/>
      </c>
      <c r="N105" s="128" t="s">
        <v>13</v>
      </c>
      <c r="O105" s="7" t="str">
        <f>IF(BudgetsTable[[#This Row],[pi_last_name]]=" ","",HYPERLINK("mailto:"&amp;BudgetsTable[[#This Row],[pi_email]]&amp;"&amp;subject=Your NSF Proposal:  "&amp;BudgetsTable[[#This Row],[prop_id]],BudgetsTable[[#This Row],[pi_email]]))</f>
        <v/>
      </c>
      <c r="P105" s="128" t="s">
        <v>13</v>
      </c>
      <c r="Q105" s="128">
        <v>1</v>
      </c>
      <c r="R105" s="128">
        <v>0.25</v>
      </c>
      <c r="S105" s="129">
        <v>0</v>
      </c>
      <c r="T105" s="129">
        <v>0</v>
      </c>
      <c r="U105" s="129">
        <v>0</v>
      </c>
      <c r="V105" s="130">
        <v>142438</v>
      </c>
      <c r="W105" s="128">
        <v>1</v>
      </c>
      <c r="X105" s="128">
        <v>1</v>
      </c>
      <c r="Y105" s="131" t="str">
        <f ca="1">IF(ISBLANK(BudgetsTable[[#This Row],[budg_seq_yr]]),"FY"&amp;fiscalyear,"FY"&amp;fiscalyear-1+BudgetsTable[[#This Row],[budg_seq_yr]])</f>
        <v>FY18</v>
      </c>
      <c r="Z105" s="129">
        <v>142438</v>
      </c>
      <c r="AA105" s="128" t="s">
        <v>741</v>
      </c>
      <c r="AB105" s="128" t="s">
        <v>901</v>
      </c>
      <c r="AC105" s="126" t="s">
        <v>94</v>
      </c>
      <c r="AD105" s="128" t="s">
        <v>1968</v>
      </c>
    </row>
    <row r="106" spans="1:30">
      <c r="A106" s="125" t="s">
        <v>2098</v>
      </c>
      <c r="B106" s="126" t="s">
        <v>1989</v>
      </c>
      <c r="C106" s="126">
        <f>C105+(BudgetsTable[[#This Row],[lead]]&lt;&gt;K105)</f>
        <v>24</v>
      </c>
      <c r="D106" s="126">
        <f>D105*(BudgetsTable[[#This Row],[lead]]=K105)+(BudgetsTable[[#This Row],[prop_id]]&lt;&gt;A105)</f>
        <v>3</v>
      </c>
      <c r="E106" s="127">
        <v>42809.477083333331</v>
      </c>
      <c r="F106" s="128" t="s">
        <v>1965</v>
      </c>
      <c r="G106" s="128" t="s">
        <v>741</v>
      </c>
      <c r="H106" s="128" t="s">
        <v>901</v>
      </c>
      <c r="I106" s="126" t="s">
        <v>540</v>
      </c>
      <c r="J106" s="126" t="s">
        <v>13</v>
      </c>
      <c r="K106" s="128" t="s">
        <v>1112</v>
      </c>
      <c r="L106" s="7" t="str">
        <f>IF(BudgetsTable[[#This Row],[pi_last_name]]=" ","",HYPERLINK("https://www.ejacket.nsf.gov/ej/showProposal.do?Continue=Y&amp;ID="&amp;BudgetsTable[[#This Row],[prop_id]],BudgetsTable[[#This Row],[prop_id]]))</f>
        <v/>
      </c>
      <c r="M106" s="15" t="str">
        <f>IF(BudgetsTable[[#This Row],[pi_last_name]]=" ","",HYPERLINK("https://www.ejacket.nsf.gov/ej/processReviewAnalysis.do?dispatch=add&amp;uniqId="&amp;BudgetsTable[[#This Row],[prop_id]]&amp;PO_id,"&gt;ra"))</f>
        <v/>
      </c>
      <c r="N106" s="128" t="s">
        <v>13</v>
      </c>
      <c r="O106" s="7" t="str">
        <f>IF(BudgetsTable[[#This Row],[pi_last_name]]=" ","",HYPERLINK("mailto:"&amp;BudgetsTable[[#This Row],[pi_email]]&amp;"&amp;subject=Your NSF Proposal:  "&amp;BudgetsTable[[#This Row],[prop_id]],BudgetsTable[[#This Row],[pi_email]]))</f>
        <v/>
      </c>
      <c r="P106" s="128" t="s">
        <v>13</v>
      </c>
      <c r="Q106" s="128">
        <v>1</v>
      </c>
      <c r="R106" s="128">
        <v>0.25</v>
      </c>
      <c r="S106" s="129">
        <v>0</v>
      </c>
      <c r="T106" s="129">
        <v>0</v>
      </c>
      <c r="U106" s="129">
        <v>0</v>
      </c>
      <c r="V106" s="130">
        <v>146563</v>
      </c>
      <c r="W106" s="128">
        <v>1</v>
      </c>
      <c r="X106" s="128">
        <v>2</v>
      </c>
      <c r="Y106" s="131" t="str">
        <f ca="1">IF(ISBLANK(BudgetsTable[[#This Row],[budg_seq_yr]]),"FY"&amp;fiscalyear,"FY"&amp;fiscalyear-1+BudgetsTable[[#This Row],[budg_seq_yr]])</f>
        <v>FY19</v>
      </c>
      <c r="Z106" s="129">
        <v>146563</v>
      </c>
      <c r="AA106" s="128" t="s">
        <v>741</v>
      </c>
      <c r="AB106" s="128" t="s">
        <v>901</v>
      </c>
      <c r="AC106" s="126" t="s">
        <v>94</v>
      </c>
      <c r="AD106" s="128" t="s">
        <v>1968</v>
      </c>
    </row>
    <row r="107" spans="1:30">
      <c r="A107" s="125" t="s">
        <v>2098</v>
      </c>
      <c r="B107" s="126" t="s">
        <v>1989</v>
      </c>
      <c r="C107" s="126">
        <f>C106+(BudgetsTable[[#This Row],[lead]]&lt;&gt;K106)</f>
        <v>24</v>
      </c>
      <c r="D107" s="126">
        <f>D106*(BudgetsTable[[#This Row],[lead]]=K106)+(BudgetsTable[[#This Row],[prop_id]]&lt;&gt;A106)</f>
        <v>3</v>
      </c>
      <c r="E107" s="127">
        <v>42809.477083333331</v>
      </c>
      <c r="F107" s="128" t="s">
        <v>1965</v>
      </c>
      <c r="G107" s="128" t="s">
        <v>741</v>
      </c>
      <c r="H107" s="128" t="s">
        <v>901</v>
      </c>
      <c r="I107" s="126" t="s">
        <v>540</v>
      </c>
      <c r="J107" s="126" t="s">
        <v>13</v>
      </c>
      <c r="K107" s="128" t="s">
        <v>1112</v>
      </c>
      <c r="L107" s="7" t="str">
        <f>IF(BudgetsTable[[#This Row],[pi_last_name]]=" ","",HYPERLINK("https://www.ejacket.nsf.gov/ej/showProposal.do?Continue=Y&amp;ID="&amp;BudgetsTable[[#This Row],[prop_id]],BudgetsTable[[#This Row],[prop_id]]))</f>
        <v/>
      </c>
      <c r="M107" s="15" t="str">
        <f>IF(BudgetsTable[[#This Row],[pi_last_name]]=" ","",HYPERLINK("https://www.ejacket.nsf.gov/ej/processReviewAnalysis.do?dispatch=add&amp;uniqId="&amp;BudgetsTable[[#This Row],[prop_id]]&amp;PO_id,"&gt;ra"))</f>
        <v/>
      </c>
      <c r="N107" s="128" t="s">
        <v>13</v>
      </c>
      <c r="O107" s="7" t="str">
        <f>IF(BudgetsTable[[#This Row],[pi_last_name]]=" ","",HYPERLINK("mailto:"&amp;BudgetsTable[[#This Row],[pi_email]]&amp;"&amp;subject=Your NSF Proposal:  "&amp;BudgetsTable[[#This Row],[prop_id]],BudgetsTable[[#This Row],[pi_email]]))</f>
        <v/>
      </c>
      <c r="P107" s="128" t="s">
        <v>13</v>
      </c>
      <c r="Q107" s="128">
        <v>1</v>
      </c>
      <c r="R107" s="128">
        <v>0.25</v>
      </c>
      <c r="S107" s="129">
        <v>0</v>
      </c>
      <c r="T107" s="129">
        <v>0</v>
      </c>
      <c r="U107" s="129">
        <v>0</v>
      </c>
      <c r="V107" s="130">
        <v>149058</v>
      </c>
      <c r="W107" s="128">
        <v>1</v>
      </c>
      <c r="X107" s="128">
        <v>3</v>
      </c>
      <c r="Y107" s="131" t="str">
        <f ca="1">IF(ISBLANK(BudgetsTable[[#This Row],[budg_seq_yr]]),"FY"&amp;fiscalyear,"FY"&amp;fiscalyear-1+BudgetsTable[[#This Row],[budg_seq_yr]])</f>
        <v>FY20</v>
      </c>
      <c r="Z107" s="129">
        <v>149058</v>
      </c>
      <c r="AA107" s="128" t="s">
        <v>741</v>
      </c>
      <c r="AB107" s="128" t="s">
        <v>901</v>
      </c>
      <c r="AC107" s="126" t="s">
        <v>94</v>
      </c>
      <c r="AD107" s="128" t="s">
        <v>1968</v>
      </c>
    </row>
    <row r="108" spans="1:30">
      <c r="A108" s="125" t="s">
        <v>1119</v>
      </c>
      <c r="B108" s="126" t="s">
        <v>96</v>
      </c>
      <c r="C108" s="126">
        <f>C107+(BudgetsTable[[#This Row],[lead]]&lt;&gt;K107)</f>
        <v>25</v>
      </c>
      <c r="D108" s="126">
        <f>D107*(BudgetsTable[[#This Row],[lead]]=K107)+(BudgetsTable[[#This Row],[prop_id]]&lt;&gt;A107)</f>
        <v>1</v>
      </c>
      <c r="E108" s="127">
        <v>42809.505555555559</v>
      </c>
      <c r="F108" s="128" t="s">
        <v>1965</v>
      </c>
      <c r="G108" s="128" t="s">
        <v>741</v>
      </c>
      <c r="H108" s="128" t="s">
        <v>901</v>
      </c>
      <c r="I108" s="126" t="s">
        <v>543</v>
      </c>
      <c r="J108" s="126" t="s">
        <v>2106</v>
      </c>
      <c r="K108" s="128" t="s">
        <v>1119</v>
      </c>
      <c r="L108" s="7" t="str">
        <f>IF(BudgetsTable[[#This Row],[pi_last_name]]=" ","",HYPERLINK("https://www.ejacket.nsf.gov/ej/showProposal.do?Continue=Y&amp;ID="&amp;BudgetsTable[[#This Row],[prop_id]],BudgetsTable[[#This Row],[prop_id]]))</f>
        <v>1740751</v>
      </c>
      <c r="M108" s="15" t="str">
        <f>IF(BudgetsTable[[#This Row],[pi_last_name]]=" ","",HYPERLINK("https://www.ejacket.nsf.gov/ej/processReviewAnalysis.do?dispatch=add&amp;uniqId="&amp;BudgetsTable[[#This Row],[prop_id]]&amp;PO_id,"&gt;ra"))</f>
        <v>&gt;ra</v>
      </c>
      <c r="N108" s="128" t="s">
        <v>1120</v>
      </c>
      <c r="O108" s="7" t="str">
        <f>IF(BudgetsTable[[#This Row],[pi_last_name]]=" ","",HYPERLINK("mailto:"&amp;BudgetsTable[[#This Row],[pi_email]]&amp;"&amp;subject=Your NSF Proposal:  "&amp;BudgetsTable[[#This Row],[prop_id]],BudgetsTable[[#This Row],[pi_email]]))</f>
        <v>indyk@mit.edu</v>
      </c>
      <c r="P108" s="128" t="s">
        <v>775</v>
      </c>
      <c r="Q108" s="128"/>
      <c r="R108" s="128"/>
      <c r="S108" s="129"/>
      <c r="T108" s="129"/>
      <c r="U108" s="129"/>
      <c r="V108" s="130"/>
      <c r="W108" s="128">
        <v>1</v>
      </c>
      <c r="X108" s="128"/>
      <c r="Y108" s="131" t="str">
        <f ca="1">IF(ISBLANK(BudgetsTable[[#This Row],[budg_seq_yr]]),"FY"&amp;fiscalyear,"FY"&amp;fiscalyear-1+BudgetsTable[[#This Row],[budg_seq_yr]])</f>
        <v>FY18</v>
      </c>
      <c r="Z108" s="129">
        <v>1368500</v>
      </c>
      <c r="AA108" s="128" t="s">
        <v>741</v>
      </c>
      <c r="AB108" s="128" t="s">
        <v>901</v>
      </c>
      <c r="AC108" s="126" t="s">
        <v>94</v>
      </c>
      <c r="AD108" s="128" t="s">
        <v>1968</v>
      </c>
    </row>
    <row r="109" spans="1:30">
      <c r="A109" s="125" t="s">
        <v>1119</v>
      </c>
      <c r="B109" s="126" t="s">
        <v>96</v>
      </c>
      <c r="C109" s="126">
        <f>C108+(BudgetsTable[[#This Row],[lead]]&lt;&gt;K108)</f>
        <v>25</v>
      </c>
      <c r="D109" s="126">
        <f>D108*(BudgetsTable[[#This Row],[lead]]=K108)+(BudgetsTable[[#This Row],[prop_id]]&lt;&gt;A108)</f>
        <v>1</v>
      </c>
      <c r="E109" s="127">
        <v>42809.505555555559</v>
      </c>
      <c r="F109" s="128" t="s">
        <v>1965</v>
      </c>
      <c r="G109" s="128" t="s">
        <v>741</v>
      </c>
      <c r="H109" s="128" t="s">
        <v>901</v>
      </c>
      <c r="I109" s="126" t="s">
        <v>543</v>
      </c>
      <c r="J109" s="126" t="s">
        <v>13</v>
      </c>
      <c r="K109" s="128" t="s">
        <v>1119</v>
      </c>
      <c r="L109" s="7" t="str">
        <f>IF(BudgetsTable[[#This Row],[pi_last_name]]=" ","",HYPERLINK("https://www.ejacket.nsf.gov/ej/showProposal.do?Continue=Y&amp;ID="&amp;BudgetsTable[[#This Row],[prop_id]],BudgetsTable[[#This Row],[prop_id]]))</f>
        <v/>
      </c>
      <c r="M109" s="15" t="str">
        <f>IF(BudgetsTable[[#This Row],[pi_last_name]]=" ","",HYPERLINK("https://www.ejacket.nsf.gov/ej/processReviewAnalysis.do?dispatch=add&amp;uniqId="&amp;BudgetsTable[[#This Row],[prop_id]]&amp;PO_id,"&gt;ra"))</f>
        <v/>
      </c>
      <c r="N109" s="128" t="s">
        <v>13</v>
      </c>
      <c r="O109" s="7" t="str">
        <f>IF(BudgetsTable[[#This Row],[pi_last_name]]=" ","",HYPERLINK("mailto:"&amp;BudgetsTable[[#This Row],[pi_email]]&amp;"&amp;subject=Your NSF Proposal:  "&amp;BudgetsTable[[#This Row],[prop_id]],BudgetsTable[[#This Row],[pi_email]]))</f>
        <v/>
      </c>
      <c r="P109" s="128" t="s">
        <v>13</v>
      </c>
      <c r="Q109" s="128">
        <v>5</v>
      </c>
      <c r="R109" s="128">
        <v>4</v>
      </c>
      <c r="S109" s="129">
        <v>44129</v>
      </c>
      <c r="T109" s="129">
        <v>0</v>
      </c>
      <c r="U109" s="129">
        <v>0</v>
      </c>
      <c r="V109" s="130">
        <v>368500</v>
      </c>
      <c r="W109" s="128">
        <v>1</v>
      </c>
      <c r="X109" s="128">
        <v>1</v>
      </c>
      <c r="Y109" s="131" t="str">
        <f ca="1">IF(ISBLANK(BudgetsTable[[#This Row],[budg_seq_yr]]),"FY"&amp;fiscalyear,"FY"&amp;fiscalyear-1+BudgetsTable[[#This Row],[budg_seq_yr]])</f>
        <v>FY18</v>
      </c>
      <c r="Z109" s="129">
        <v>368500</v>
      </c>
      <c r="AA109" s="128" t="s">
        <v>741</v>
      </c>
      <c r="AB109" s="128" t="s">
        <v>901</v>
      </c>
      <c r="AC109" s="126" t="s">
        <v>94</v>
      </c>
      <c r="AD109" s="128" t="s">
        <v>1968</v>
      </c>
    </row>
    <row r="110" spans="1:30">
      <c r="A110" s="125" t="s">
        <v>1119</v>
      </c>
      <c r="B110" s="126" t="s">
        <v>96</v>
      </c>
      <c r="C110" s="126">
        <f>C109+(BudgetsTable[[#This Row],[lead]]&lt;&gt;K109)</f>
        <v>25</v>
      </c>
      <c r="D110" s="126">
        <f>D109*(BudgetsTable[[#This Row],[lead]]=K109)+(BudgetsTable[[#This Row],[prop_id]]&lt;&gt;A109)</f>
        <v>1</v>
      </c>
      <c r="E110" s="127">
        <v>42809.505555555559</v>
      </c>
      <c r="F110" s="128" t="s">
        <v>1965</v>
      </c>
      <c r="G110" s="128" t="s">
        <v>741</v>
      </c>
      <c r="H110" s="128" t="s">
        <v>901</v>
      </c>
      <c r="I110" s="126" t="s">
        <v>543</v>
      </c>
      <c r="J110" s="126" t="s">
        <v>13</v>
      </c>
      <c r="K110" s="128" t="s">
        <v>1119</v>
      </c>
      <c r="L110" s="7" t="str">
        <f>IF(BudgetsTable[[#This Row],[pi_last_name]]=" ","",HYPERLINK("https://www.ejacket.nsf.gov/ej/showProposal.do?Continue=Y&amp;ID="&amp;BudgetsTable[[#This Row],[prop_id]],BudgetsTable[[#This Row],[prop_id]]))</f>
        <v/>
      </c>
      <c r="M110" s="15" t="str">
        <f>IF(BudgetsTable[[#This Row],[pi_last_name]]=" ","",HYPERLINK("https://www.ejacket.nsf.gov/ej/processReviewAnalysis.do?dispatch=add&amp;uniqId="&amp;BudgetsTable[[#This Row],[prop_id]]&amp;PO_id,"&gt;ra"))</f>
        <v/>
      </c>
      <c r="N110" s="128" t="s">
        <v>13</v>
      </c>
      <c r="O110" s="7" t="str">
        <f>IF(BudgetsTable[[#This Row],[pi_last_name]]=" ","",HYPERLINK("mailto:"&amp;BudgetsTable[[#This Row],[pi_email]]&amp;"&amp;subject=Your NSF Proposal:  "&amp;BudgetsTable[[#This Row],[prop_id]],BudgetsTable[[#This Row],[pi_email]]))</f>
        <v/>
      </c>
      <c r="P110" s="128" t="s">
        <v>13</v>
      </c>
      <c r="Q110" s="128">
        <v>5</v>
      </c>
      <c r="R110" s="128">
        <v>4</v>
      </c>
      <c r="S110" s="129">
        <v>102088</v>
      </c>
      <c r="T110" s="129">
        <v>0</v>
      </c>
      <c r="U110" s="129">
        <v>0</v>
      </c>
      <c r="V110" s="130">
        <v>500000</v>
      </c>
      <c r="W110" s="128">
        <v>1</v>
      </c>
      <c r="X110" s="128">
        <v>2</v>
      </c>
      <c r="Y110" s="131" t="str">
        <f ca="1">IF(ISBLANK(BudgetsTable[[#This Row],[budg_seq_yr]]),"FY"&amp;fiscalyear,"FY"&amp;fiscalyear-1+BudgetsTable[[#This Row],[budg_seq_yr]])</f>
        <v>FY19</v>
      </c>
      <c r="Z110" s="129">
        <v>500000</v>
      </c>
      <c r="AA110" s="128" t="s">
        <v>741</v>
      </c>
      <c r="AB110" s="128" t="s">
        <v>901</v>
      </c>
      <c r="AC110" s="126" t="s">
        <v>94</v>
      </c>
      <c r="AD110" s="128" t="s">
        <v>1968</v>
      </c>
    </row>
    <row r="111" spans="1:30">
      <c r="A111" s="125" t="s">
        <v>1119</v>
      </c>
      <c r="B111" s="126" t="s">
        <v>96</v>
      </c>
      <c r="C111" s="126">
        <f>C110+(BudgetsTable[[#This Row],[lead]]&lt;&gt;K110)</f>
        <v>25</v>
      </c>
      <c r="D111" s="126">
        <f>D110*(BudgetsTable[[#This Row],[lead]]=K110)+(BudgetsTable[[#This Row],[prop_id]]&lt;&gt;A110)</f>
        <v>1</v>
      </c>
      <c r="E111" s="127">
        <v>42809.505555555559</v>
      </c>
      <c r="F111" s="128" t="s">
        <v>1965</v>
      </c>
      <c r="G111" s="128" t="s">
        <v>741</v>
      </c>
      <c r="H111" s="128" t="s">
        <v>901</v>
      </c>
      <c r="I111" s="126" t="s">
        <v>543</v>
      </c>
      <c r="J111" s="126" t="s">
        <v>13</v>
      </c>
      <c r="K111" s="128" t="s">
        <v>1119</v>
      </c>
      <c r="L111" s="7" t="str">
        <f>IF(BudgetsTable[[#This Row],[pi_last_name]]=" ","",HYPERLINK("https://www.ejacket.nsf.gov/ej/showProposal.do?Continue=Y&amp;ID="&amp;BudgetsTable[[#This Row],[prop_id]],BudgetsTable[[#This Row],[prop_id]]))</f>
        <v/>
      </c>
      <c r="M111" s="15" t="str">
        <f>IF(BudgetsTable[[#This Row],[pi_last_name]]=" ","",HYPERLINK("https://www.ejacket.nsf.gov/ej/processReviewAnalysis.do?dispatch=add&amp;uniqId="&amp;BudgetsTable[[#This Row],[prop_id]]&amp;PO_id,"&gt;ra"))</f>
        <v/>
      </c>
      <c r="N111" s="128" t="s">
        <v>13</v>
      </c>
      <c r="O111" s="7" t="str">
        <f>IF(BudgetsTable[[#This Row],[pi_last_name]]=" ","",HYPERLINK("mailto:"&amp;BudgetsTable[[#This Row],[pi_email]]&amp;"&amp;subject=Your NSF Proposal:  "&amp;BudgetsTable[[#This Row],[prop_id]],BudgetsTable[[#This Row],[pi_email]]))</f>
        <v/>
      </c>
      <c r="P111" s="128" t="s">
        <v>13</v>
      </c>
      <c r="Q111" s="128">
        <v>5</v>
      </c>
      <c r="R111" s="128">
        <v>4</v>
      </c>
      <c r="S111" s="129">
        <v>102734</v>
      </c>
      <c r="T111" s="129">
        <v>0</v>
      </c>
      <c r="U111" s="129">
        <v>0</v>
      </c>
      <c r="V111" s="130">
        <v>500000</v>
      </c>
      <c r="W111" s="128">
        <v>1</v>
      </c>
      <c r="X111" s="128">
        <v>3</v>
      </c>
      <c r="Y111" s="131" t="str">
        <f ca="1">IF(ISBLANK(BudgetsTable[[#This Row],[budg_seq_yr]]),"FY"&amp;fiscalyear,"FY"&amp;fiscalyear-1+BudgetsTable[[#This Row],[budg_seq_yr]])</f>
        <v>FY20</v>
      </c>
      <c r="Z111" s="129">
        <v>500000</v>
      </c>
      <c r="AA111" s="128" t="s">
        <v>741</v>
      </c>
      <c r="AB111" s="128" t="s">
        <v>901</v>
      </c>
      <c r="AC111" s="126" t="s">
        <v>94</v>
      </c>
      <c r="AD111" s="128" t="s">
        <v>1968</v>
      </c>
    </row>
    <row r="112" spans="1:30">
      <c r="A112" s="125" t="s">
        <v>1133</v>
      </c>
      <c r="B112" s="126" t="s">
        <v>96</v>
      </c>
      <c r="C112" s="126">
        <f>C111+(BudgetsTable[[#This Row],[lead]]&lt;&gt;K111)</f>
        <v>26</v>
      </c>
      <c r="D112" s="126">
        <f>D111*(BudgetsTable[[#This Row],[lead]]=K111)+(BudgetsTable[[#This Row],[prop_id]]&lt;&gt;A111)</f>
        <v>1</v>
      </c>
      <c r="E112" s="127">
        <v>42809.513194444444</v>
      </c>
      <c r="F112" s="128" t="s">
        <v>1965</v>
      </c>
      <c r="G112" s="128" t="s">
        <v>741</v>
      </c>
      <c r="H112" s="128" t="s">
        <v>901</v>
      </c>
      <c r="I112" s="126" t="s">
        <v>540</v>
      </c>
      <c r="J112" s="126" t="s">
        <v>2112</v>
      </c>
      <c r="K112" s="128" t="s">
        <v>1133</v>
      </c>
      <c r="L112" s="7" t="str">
        <f>IF(BudgetsTable[[#This Row],[pi_last_name]]=" ","",HYPERLINK("https://www.ejacket.nsf.gov/ej/showProposal.do?Continue=Y&amp;ID="&amp;BudgetsTable[[#This Row],[prop_id]],BudgetsTable[[#This Row],[prop_id]]))</f>
        <v>1740752</v>
      </c>
      <c r="M112" s="15" t="str">
        <f>IF(BudgetsTable[[#This Row],[pi_last_name]]=" ","",HYPERLINK("https://www.ejacket.nsf.gov/ej/processReviewAnalysis.do?dispatch=add&amp;uniqId="&amp;BudgetsTable[[#This Row],[prop_id]]&amp;PO_id,"&gt;ra"))</f>
        <v>&gt;ra</v>
      </c>
      <c r="N112" s="128" t="s">
        <v>1134</v>
      </c>
      <c r="O112" s="7" t="str">
        <f>IF(BudgetsTable[[#This Row],[pi_last_name]]=" ","",HYPERLINK("mailto:"&amp;BudgetsTable[[#This Row],[pi_email]]&amp;"&amp;subject=Your NSF Proposal:  "&amp;BudgetsTable[[#This Row],[prop_id]],BudgetsTable[[#This Row],[pi_email]]))</f>
        <v>brian@cse.lehigh.edu</v>
      </c>
      <c r="P112" s="128" t="s">
        <v>2109</v>
      </c>
      <c r="Q112" s="128"/>
      <c r="R112" s="128"/>
      <c r="S112" s="129"/>
      <c r="T112" s="129"/>
      <c r="U112" s="129"/>
      <c r="V112" s="130"/>
      <c r="W112" s="128">
        <v>0</v>
      </c>
      <c r="X112" s="128"/>
      <c r="Y112" s="131" t="str">
        <f ca="1">IF(ISBLANK(BudgetsTable[[#This Row],[budg_seq_yr]]),"FY"&amp;fiscalyear,"FY"&amp;fiscalyear-1+BudgetsTable[[#This Row],[budg_seq_yr]])</f>
        <v>FY18</v>
      </c>
      <c r="Z112" s="129">
        <v>1499915</v>
      </c>
      <c r="AA112" s="128" t="s">
        <v>741</v>
      </c>
      <c r="AB112" s="128" t="s">
        <v>901</v>
      </c>
      <c r="AC112" s="126" t="s">
        <v>94</v>
      </c>
      <c r="AD112" s="128" t="s">
        <v>1968</v>
      </c>
    </row>
    <row r="113" spans="1:30">
      <c r="A113" s="125" t="s">
        <v>1133</v>
      </c>
      <c r="B113" s="126" t="s">
        <v>96</v>
      </c>
      <c r="C113" s="126">
        <f>C112+(BudgetsTable[[#This Row],[lead]]&lt;&gt;K112)</f>
        <v>26</v>
      </c>
      <c r="D113" s="126">
        <f>D112*(BudgetsTable[[#This Row],[lead]]=K112)+(BudgetsTable[[#This Row],[prop_id]]&lt;&gt;A112)</f>
        <v>1</v>
      </c>
      <c r="E113" s="127">
        <v>42809.513194444444</v>
      </c>
      <c r="F113" s="128" t="s">
        <v>1965</v>
      </c>
      <c r="G113" s="128" t="s">
        <v>741</v>
      </c>
      <c r="H113" s="128" t="s">
        <v>901</v>
      </c>
      <c r="I113" s="126" t="s">
        <v>540</v>
      </c>
      <c r="J113" s="126" t="s">
        <v>13</v>
      </c>
      <c r="K113" s="128" t="s">
        <v>1133</v>
      </c>
      <c r="L113" s="7" t="str">
        <f>IF(BudgetsTable[[#This Row],[pi_last_name]]=" ","",HYPERLINK("https://www.ejacket.nsf.gov/ej/showProposal.do?Continue=Y&amp;ID="&amp;BudgetsTable[[#This Row],[prop_id]],BudgetsTable[[#This Row],[prop_id]]))</f>
        <v/>
      </c>
      <c r="M113" s="15" t="str">
        <f>IF(BudgetsTable[[#This Row],[pi_last_name]]=" ","",HYPERLINK("https://www.ejacket.nsf.gov/ej/processReviewAnalysis.do?dispatch=add&amp;uniqId="&amp;BudgetsTable[[#This Row],[prop_id]]&amp;PO_id,"&gt;ra"))</f>
        <v/>
      </c>
      <c r="N113" s="128" t="s">
        <v>13</v>
      </c>
      <c r="O113" s="7" t="str">
        <f>IF(BudgetsTable[[#This Row],[pi_last_name]]=" ","",HYPERLINK("mailto:"&amp;BudgetsTable[[#This Row],[pi_email]]&amp;"&amp;subject=Your NSF Proposal:  "&amp;BudgetsTable[[#This Row],[prop_id]],BudgetsTable[[#This Row],[pi_email]]))</f>
        <v/>
      </c>
      <c r="P113" s="128" t="s">
        <v>13</v>
      </c>
      <c r="Q113" s="128">
        <v>12</v>
      </c>
      <c r="R113" s="128">
        <v>4</v>
      </c>
      <c r="S113" s="129">
        <v>55000</v>
      </c>
      <c r="T113" s="129">
        <v>14500</v>
      </c>
      <c r="U113" s="129">
        <v>0</v>
      </c>
      <c r="V113" s="130">
        <v>499988</v>
      </c>
      <c r="W113" s="128">
        <v>0</v>
      </c>
      <c r="X113" s="128">
        <v>1</v>
      </c>
      <c r="Y113" s="131" t="str">
        <f ca="1">IF(ISBLANK(BudgetsTable[[#This Row],[budg_seq_yr]]),"FY"&amp;fiscalyear,"FY"&amp;fiscalyear-1+BudgetsTable[[#This Row],[budg_seq_yr]])</f>
        <v>FY18</v>
      </c>
      <c r="Z113" s="129">
        <v>499988</v>
      </c>
      <c r="AA113" s="128" t="s">
        <v>741</v>
      </c>
      <c r="AB113" s="128" t="s">
        <v>901</v>
      </c>
      <c r="AC113" s="126" t="s">
        <v>94</v>
      </c>
      <c r="AD113" s="128" t="s">
        <v>1968</v>
      </c>
    </row>
    <row r="114" spans="1:30">
      <c r="A114" s="125" t="s">
        <v>1133</v>
      </c>
      <c r="B114" s="126" t="s">
        <v>96</v>
      </c>
      <c r="C114" s="126">
        <f>C113+(BudgetsTable[[#This Row],[lead]]&lt;&gt;K113)</f>
        <v>26</v>
      </c>
      <c r="D114" s="126">
        <f>D113*(BudgetsTable[[#This Row],[lead]]=K113)+(BudgetsTable[[#This Row],[prop_id]]&lt;&gt;A113)</f>
        <v>1</v>
      </c>
      <c r="E114" s="127">
        <v>42809.513194444444</v>
      </c>
      <c r="F114" s="128" t="s">
        <v>1965</v>
      </c>
      <c r="G114" s="128" t="s">
        <v>741</v>
      </c>
      <c r="H114" s="128" t="s">
        <v>901</v>
      </c>
      <c r="I114" s="126" t="s">
        <v>540</v>
      </c>
      <c r="J114" s="126" t="s">
        <v>13</v>
      </c>
      <c r="K114" s="128" t="s">
        <v>1133</v>
      </c>
      <c r="L114" s="7" t="str">
        <f>IF(BudgetsTable[[#This Row],[pi_last_name]]=" ","",HYPERLINK("https://www.ejacket.nsf.gov/ej/showProposal.do?Continue=Y&amp;ID="&amp;BudgetsTable[[#This Row],[prop_id]],BudgetsTable[[#This Row],[prop_id]]))</f>
        <v/>
      </c>
      <c r="M114" s="15" t="str">
        <f>IF(BudgetsTable[[#This Row],[pi_last_name]]=" ","",HYPERLINK("https://www.ejacket.nsf.gov/ej/processReviewAnalysis.do?dispatch=add&amp;uniqId="&amp;BudgetsTable[[#This Row],[prop_id]]&amp;PO_id,"&gt;ra"))</f>
        <v/>
      </c>
      <c r="N114" s="128" t="s">
        <v>13</v>
      </c>
      <c r="O114" s="7" t="str">
        <f>IF(BudgetsTable[[#This Row],[pi_last_name]]=" ","",HYPERLINK("mailto:"&amp;BudgetsTable[[#This Row],[pi_email]]&amp;"&amp;subject=Your NSF Proposal:  "&amp;BudgetsTable[[#This Row],[prop_id]],BudgetsTable[[#This Row],[pi_email]]))</f>
        <v/>
      </c>
      <c r="P114" s="128" t="s">
        <v>13</v>
      </c>
      <c r="Q114" s="128">
        <v>12</v>
      </c>
      <c r="R114" s="128">
        <v>4</v>
      </c>
      <c r="S114" s="129">
        <v>56650</v>
      </c>
      <c r="T114" s="129">
        <v>8700</v>
      </c>
      <c r="U114" s="129">
        <v>4000</v>
      </c>
      <c r="V114" s="130">
        <v>499987</v>
      </c>
      <c r="W114" s="128">
        <v>0</v>
      </c>
      <c r="X114" s="128">
        <v>2</v>
      </c>
      <c r="Y114" s="131" t="str">
        <f ca="1">IF(ISBLANK(BudgetsTable[[#This Row],[budg_seq_yr]]),"FY"&amp;fiscalyear,"FY"&amp;fiscalyear-1+BudgetsTable[[#This Row],[budg_seq_yr]])</f>
        <v>FY19</v>
      </c>
      <c r="Z114" s="129">
        <v>499987</v>
      </c>
      <c r="AA114" s="128" t="s">
        <v>741</v>
      </c>
      <c r="AB114" s="128" t="s">
        <v>901</v>
      </c>
      <c r="AC114" s="126" t="s">
        <v>94</v>
      </c>
      <c r="AD114" s="128" t="s">
        <v>1968</v>
      </c>
    </row>
    <row r="115" spans="1:30">
      <c r="A115" s="125" t="s">
        <v>1133</v>
      </c>
      <c r="B115" s="126" t="s">
        <v>96</v>
      </c>
      <c r="C115" s="126">
        <f>C114+(BudgetsTable[[#This Row],[lead]]&lt;&gt;K114)</f>
        <v>26</v>
      </c>
      <c r="D115" s="126">
        <f>D114*(BudgetsTable[[#This Row],[lead]]=K114)+(BudgetsTable[[#This Row],[prop_id]]&lt;&gt;A114)</f>
        <v>1</v>
      </c>
      <c r="E115" s="127">
        <v>42809.513194444444</v>
      </c>
      <c r="F115" s="128" t="s">
        <v>1965</v>
      </c>
      <c r="G115" s="128" t="s">
        <v>741</v>
      </c>
      <c r="H115" s="128" t="s">
        <v>901</v>
      </c>
      <c r="I115" s="126" t="s">
        <v>540</v>
      </c>
      <c r="J115" s="126" t="s">
        <v>13</v>
      </c>
      <c r="K115" s="128" t="s">
        <v>1133</v>
      </c>
      <c r="L115" s="7" t="str">
        <f>IF(BudgetsTable[[#This Row],[pi_last_name]]=" ","",HYPERLINK("https://www.ejacket.nsf.gov/ej/showProposal.do?Continue=Y&amp;ID="&amp;BudgetsTable[[#This Row],[prop_id]],BudgetsTable[[#This Row],[prop_id]]))</f>
        <v/>
      </c>
      <c r="M115" s="15" t="str">
        <f>IF(BudgetsTable[[#This Row],[pi_last_name]]=" ","",HYPERLINK("https://www.ejacket.nsf.gov/ej/processReviewAnalysis.do?dispatch=add&amp;uniqId="&amp;BudgetsTable[[#This Row],[prop_id]]&amp;PO_id,"&gt;ra"))</f>
        <v/>
      </c>
      <c r="N115" s="128" t="s">
        <v>13</v>
      </c>
      <c r="O115" s="7" t="str">
        <f>IF(BudgetsTable[[#This Row],[pi_last_name]]=" ","",HYPERLINK("mailto:"&amp;BudgetsTable[[#This Row],[pi_email]]&amp;"&amp;subject=Your NSF Proposal:  "&amp;BudgetsTable[[#This Row],[prop_id]],BudgetsTable[[#This Row],[pi_email]]))</f>
        <v/>
      </c>
      <c r="P115" s="128" t="s">
        <v>13</v>
      </c>
      <c r="Q115" s="128">
        <v>12</v>
      </c>
      <c r="R115" s="128">
        <v>4</v>
      </c>
      <c r="S115" s="129">
        <v>58350</v>
      </c>
      <c r="T115" s="129">
        <v>5800</v>
      </c>
      <c r="U115" s="129">
        <v>4000</v>
      </c>
      <c r="V115" s="130">
        <v>499940</v>
      </c>
      <c r="W115" s="128">
        <v>0</v>
      </c>
      <c r="X115" s="128">
        <v>3</v>
      </c>
      <c r="Y115" s="131" t="str">
        <f ca="1">IF(ISBLANK(BudgetsTable[[#This Row],[budg_seq_yr]]),"FY"&amp;fiscalyear,"FY"&amp;fiscalyear-1+BudgetsTable[[#This Row],[budg_seq_yr]])</f>
        <v>FY20</v>
      </c>
      <c r="Z115" s="129">
        <v>499940</v>
      </c>
      <c r="AA115" s="128" t="s">
        <v>741</v>
      </c>
      <c r="AB115" s="128" t="s">
        <v>901</v>
      </c>
      <c r="AC115" s="126" t="s">
        <v>94</v>
      </c>
      <c r="AD115" s="128" t="s">
        <v>1968</v>
      </c>
    </row>
    <row r="116" spans="1:30">
      <c r="A116" s="125" t="s">
        <v>1140</v>
      </c>
      <c r="B116" s="126" t="s">
        <v>1981</v>
      </c>
      <c r="C116" s="126">
        <f>C115+(BudgetsTable[[#This Row],[lead]]&lt;&gt;K115)</f>
        <v>27</v>
      </c>
      <c r="D116" s="126">
        <f>D115*(BudgetsTable[[#This Row],[lead]]=K115)+(BudgetsTable[[#This Row],[prop_id]]&lt;&gt;A115)</f>
        <v>1</v>
      </c>
      <c r="E116" s="127">
        <v>42809.545138888891</v>
      </c>
      <c r="F116" s="128" t="s">
        <v>1965</v>
      </c>
      <c r="G116" s="128" t="s">
        <v>741</v>
      </c>
      <c r="H116" s="128" t="s">
        <v>901</v>
      </c>
      <c r="I116" s="126" t="s">
        <v>948</v>
      </c>
      <c r="J116" s="126" t="s">
        <v>2116</v>
      </c>
      <c r="K116" s="128" t="s">
        <v>1140</v>
      </c>
      <c r="L116" s="7" t="str">
        <f>IF(BudgetsTable[[#This Row],[pi_last_name]]=" ","",HYPERLINK("https://www.ejacket.nsf.gov/ej/showProposal.do?Continue=Y&amp;ID="&amp;BudgetsTable[[#This Row],[prop_id]],BudgetsTable[[#This Row],[prop_id]]))</f>
        <v>1740759</v>
      </c>
      <c r="M116" s="15" t="str">
        <f>IF(BudgetsTable[[#This Row],[pi_last_name]]=" ","",HYPERLINK("https://www.ejacket.nsf.gov/ej/processReviewAnalysis.do?dispatch=add&amp;uniqId="&amp;BudgetsTable[[#This Row],[prop_id]]&amp;PO_id,"&gt;ra"))</f>
        <v>&gt;ra</v>
      </c>
      <c r="N116" s="128" t="s">
        <v>1141</v>
      </c>
      <c r="O116" s="7" t="str">
        <f>IF(BudgetsTable[[#This Row],[pi_last_name]]=" ","",HYPERLINK("mailto:"&amp;BudgetsTable[[#This Row],[pi_email]]&amp;"&amp;subject=Your NSF Proposal:  "&amp;BudgetsTable[[#This Row],[prop_id]],BudgetsTable[[#This Row],[pi_email]]))</f>
        <v>annacg@umich.edu</v>
      </c>
      <c r="P116" s="128" t="s">
        <v>342</v>
      </c>
      <c r="Q116" s="128"/>
      <c r="R116" s="128"/>
      <c r="S116" s="129"/>
      <c r="T116" s="129"/>
      <c r="U116" s="129"/>
      <c r="V116" s="130"/>
      <c r="W116" s="128">
        <v>0</v>
      </c>
      <c r="X116" s="128"/>
      <c r="Y116" s="131" t="str">
        <f ca="1">IF(ISBLANK(BudgetsTable[[#This Row],[budg_seq_yr]]),"FY"&amp;fiscalyear,"FY"&amp;fiscalyear-1+BudgetsTable[[#This Row],[budg_seq_yr]])</f>
        <v>FY18</v>
      </c>
      <c r="Z116" s="129">
        <v>1063465</v>
      </c>
      <c r="AA116" s="128" t="s">
        <v>741</v>
      </c>
      <c r="AB116" s="128" t="s">
        <v>901</v>
      </c>
      <c r="AC116" s="126" t="s">
        <v>94</v>
      </c>
      <c r="AD116" s="128" t="s">
        <v>2007</v>
      </c>
    </row>
    <row r="117" spans="1:30">
      <c r="A117" s="125" t="s">
        <v>1140</v>
      </c>
      <c r="B117" s="126" t="s">
        <v>1981</v>
      </c>
      <c r="C117" s="126">
        <f>C116+(BudgetsTable[[#This Row],[lead]]&lt;&gt;K116)</f>
        <v>27</v>
      </c>
      <c r="D117" s="126">
        <f>D116*(BudgetsTable[[#This Row],[lead]]=K116)+(BudgetsTable[[#This Row],[prop_id]]&lt;&gt;A116)</f>
        <v>1</v>
      </c>
      <c r="E117" s="127">
        <v>42809.545138888891</v>
      </c>
      <c r="F117" s="128" t="s">
        <v>1965</v>
      </c>
      <c r="G117" s="128" t="s">
        <v>741</v>
      </c>
      <c r="H117" s="128" t="s">
        <v>901</v>
      </c>
      <c r="I117" s="126" t="s">
        <v>948</v>
      </c>
      <c r="J117" s="126" t="s">
        <v>13</v>
      </c>
      <c r="K117" s="128" t="s">
        <v>1140</v>
      </c>
      <c r="L117" s="7" t="str">
        <f>IF(BudgetsTable[[#This Row],[pi_last_name]]=" ","",HYPERLINK("https://www.ejacket.nsf.gov/ej/showProposal.do?Continue=Y&amp;ID="&amp;BudgetsTable[[#This Row],[prop_id]],BudgetsTable[[#This Row],[prop_id]]))</f>
        <v/>
      </c>
      <c r="M117" s="15" t="str">
        <f>IF(BudgetsTable[[#This Row],[pi_last_name]]=" ","",HYPERLINK("https://www.ejacket.nsf.gov/ej/processReviewAnalysis.do?dispatch=add&amp;uniqId="&amp;BudgetsTable[[#This Row],[prop_id]]&amp;PO_id,"&gt;ra"))</f>
        <v/>
      </c>
      <c r="N117" s="128" t="s">
        <v>13</v>
      </c>
      <c r="O117" s="7" t="str">
        <f>IF(BudgetsTable[[#This Row],[pi_last_name]]=" ","",HYPERLINK("mailto:"&amp;BudgetsTable[[#This Row],[pi_email]]&amp;"&amp;subject=Your NSF Proposal:  "&amp;BudgetsTable[[#This Row],[prop_id]],BudgetsTable[[#This Row],[pi_email]]))</f>
        <v/>
      </c>
      <c r="P117" s="128" t="s">
        <v>13</v>
      </c>
      <c r="Q117" s="128">
        <v>2</v>
      </c>
      <c r="R117" s="128">
        <v>0.45</v>
      </c>
      <c r="S117" s="129">
        <v>0</v>
      </c>
      <c r="T117" s="129">
        <v>4000</v>
      </c>
      <c r="U117" s="129">
        <v>12000</v>
      </c>
      <c r="V117" s="130">
        <v>359366</v>
      </c>
      <c r="W117" s="128">
        <v>0</v>
      </c>
      <c r="X117" s="128">
        <v>1</v>
      </c>
      <c r="Y117" s="131" t="str">
        <f ca="1">IF(ISBLANK(BudgetsTable[[#This Row],[budg_seq_yr]]),"FY"&amp;fiscalyear,"FY"&amp;fiscalyear-1+BudgetsTable[[#This Row],[budg_seq_yr]])</f>
        <v>FY18</v>
      </c>
      <c r="Z117" s="129">
        <v>359366</v>
      </c>
      <c r="AA117" s="128" t="s">
        <v>741</v>
      </c>
      <c r="AB117" s="128" t="s">
        <v>901</v>
      </c>
      <c r="AC117" s="126" t="s">
        <v>94</v>
      </c>
      <c r="AD117" s="128" t="s">
        <v>2007</v>
      </c>
    </row>
    <row r="118" spans="1:30">
      <c r="A118" s="125" t="s">
        <v>1140</v>
      </c>
      <c r="B118" s="126" t="s">
        <v>1981</v>
      </c>
      <c r="C118" s="126">
        <f>C117+(BudgetsTable[[#This Row],[lead]]&lt;&gt;K117)</f>
        <v>27</v>
      </c>
      <c r="D118" s="126">
        <f>D117*(BudgetsTable[[#This Row],[lead]]=K117)+(BudgetsTable[[#This Row],[prop_id]]&lt;&gt;A117)</f>
        <v>1</v>
      </c>
      <c r="E118" s="127">
        <v>42809.545138888891</v>
      </c>
      <c r="F118" s="128" t="s">
        <v>1965</v>
      </c>
      <c r="G118" s="128" t="s">
        <v>741</v>
      </c>
      <c r="H118" s="128" t="s">
        <v>901</v>
      </c>
      <c r="I118" s="126" t="s">
        <v>948</v>
      </c>
      <c r="J118" s="126" t="s">
        <v>13</v>
      </c>
      <c r="K118" s="128" t="s">
        <v>1140</v>
      </c>
      <c r="L118" s="7" t="str">
        <f>IF(BudgetsTable[[#This Row],[pi_last_name]]=" ","",HYPERLINK("https://www.ejacket.nsf.gov/ej/showProposal.do?Continue=Y&amp;ID="&amp;BudgetsTable[[#This Row],[prop_id]],BudgetsTable[[#This Row],[prop_id]]))</f>
        <v/>
      </c>
      <c r="M118" s="15" t="str">
        <f>IF(BudgetsTable[[#This Row],[pi_last_name]]=" ","",HYPERLINK("https://www.ejacket.nsf.gov/ej/processReviewAnalysis.do?dispatch=add&amp;uniqId="&amp;BudgetsTable[[#This Row],[prop_id]]&amp;PO_id,"&gt;ra"))</f>
        <v/>
      </c>
      <c r="N118" s="128" t="s">
        <v>13</v>
      </c>
      <c r="O118" s="7" t="str">
        <f>IF(BudgetsTable[[#This Row],[pi_last_name]]=" ","",HYPERLINK("mailto:"&amp;BudgetsTable[[#This Row],[pi_email]]&amp;"&amp;subject=Your NSF Proposal:  "&amp;BudgetsTable[[#This Row],[prop_id]],BudgetsTable[[#This Row],[pi_email]]))</f>
        <v/>
      </c>
      <c r="P118" s="128" t="s">
        <v>13</v>
      </c>
      <c r="Q118" s="128">
        <v>2</v>
      </c>
      <c r="R118" s="128">
        <v>0.45</v>
      </c>
      <c r="S118" s="129">
        <v>0</v>
      </c>
      <c r="T118" s="129">
        <v>4000</v>
      </c>
      <c r="U118" s="129">
        <v>12000</v>
      </c>
      <c r="V118" s="130">
        <v>354554</v>
      </c>
      <c r="W118" s="128">
        <v>0</v>
      </c>
      <c r="X118" s="128">
        <v>2</v>
      </c>
      <c r="Y118" s="131" t="str">
        <f ca="1">IF(ISBLANK(BudgetsTable[[#This Row],[budg_seq_yr]]),"FY"&amp;fiscalyear,"FY"&amp;fiscalyear-1+BudgetsTable[[#This Row],[budg_seq_yr]])</f>
        <v>FY19</v>
      </c>
      <c r="Z118" s="129">
        <v>354554</v>
      </c>
      <c r="AA118" s="128" t="s">
        <v>741</v>
      </c>
      <c r="AB118" s="128" t="s">
        <v>901</v>
      </c>
      <c r="AC118" s="126" t="s">
        <v>94</v>
      </c>
      <c r="AD118" s="128" t="s">
        <v>2007</v>
      </c>
    </row>
    <row r="119" spans="1:30">
      <c r="A119" s="125" t="s">
        <v>1140</v>
      </c>
      <c r="B119" s="126" t="s">
        <v>1981</v>
      </c>
      <c r="C119" s="126">
        <f>C118+(BudgetsTable[[#This Row],[lead]]&lt;&gt;K118)</f>
        <v>27</v>
      </c>
      <c r="D119" s="126">
        <f>D118*(BudgetsTable[[#This Row],[lead]]=K118)+(BudgetsTable[[#This Row],[prop_id]]&lt;&gt;A118)</f>
        <v>1</v>
      </c>
      <c r="E119" s="127">
        <v>42809.545138888891</v>
      </c>
      <c r="F119" s="128" t="s">
        <v>1965</v>
      </c>
      <c r="G119" s="128" t="s">
        <v>741</v>
      </c>
      <c r="H119" s="128" t="s">
        <v>901</v>
      </c>
      <c r="I119" s="126" t="s">
        <v>948</v>
      </c>
      <c r="J119" s="126" t="s">
        <v>13</v>
      </c>
      <c r="K119" s="128" t="s">
        <v>1140</v>
      </c>
      <c r="L119" s="7" t="str">
        <f>IF(BudgetsTable[[#This Row],[pi_last_name]]=" ","",HYPERLINK("https://www.ejacket.nsf.gov/ej/showProposal.do?Continue=Y&amp;ID="&amp;BudgetsTable[[#This Row],[prop_id]],BudgetsTable[[#This Row],[prop_id]]))</f>
        <v/>
      </c>
      <c r="M119" s="15" t="str">
        <f>IF(BudgetsTable[[#This Row],[pi_last_name]]=" ","",HYPERLINK("https://www.ejacket.nsf.gov/ej/processReviewAnalysis.do?dispatch=add&amp;uniqId="&amp;BudgetsTable[[#This Row],[prop_id]]&amp;PO_id,"&gt;ra"))</f>
        <v/>
      </c>
      <c r="N119" s="128" t="s">
        <v>13</v>
      </c>
      <c r="O119" s="7" t="str">
        <f>IF(BudgetsTable[[#This Row],[pi_last_name]]=" ","",HYPERLINK("mailto:"&amp;BudgetsTable[[#This Row],[pi_email]]&amp;"&amp;subject=Your NSF Proposal:  "&amp;BudgetsTable[[#This Row],[prop_id]],BudgetsTable[[#This Row],[pi_email]]))</f>
        <v/>
      </c>
      <c r="P119" s="128" t="s">
        <v>13</v>
      </c>
      <c r="Q119" s="128">
        <v>2</v>
      </c>
      <c r="R119" s="128">
        <v>0.45</v>
      </c>
      <c r="S119" s="129">
        <v>0</v>
      </c>
      <c r="T119" s="129">
        <v>4000</v>
      </c>
      <c r="U119" s="129">
        <v>12000</v>
      </c>
      <c r="V119" s="130">
        <v>349545</v>
      </c>
      <c r="W119" s="128">
        <v>0</v>
      </c>
      <c r="X119" s="128">
        <v>3</v>
      </c>
      <c r="Y119" s="131" t="str">
        <f ca="1">IF(ISBLANK(BudgetsTable[[#This Row],[budg_seq_yr]]),"FY"&amp;fiscalyear,"FY"&amp;fiscalyear-1+BudgetsTable[[#This Row],[budg_seq_yr]])</f>
        <v>FY20</v>
      </c>
      <c r="Z119" s="129">
        <v>349545</v>
      </c>
      <c r="AA119" s="128" t="s">
        <v>741</v>
      </c>
      <c r="AB119" s="128" t="s">
        <v>901</v>
      </c>
      <c r="AC119" s="126" t="s">
        <v>94</v>
      </c>
      <c r="AD119" s="128" t="s">
        <v>2007</v>
      </c>
    </row>
    <row r="120" spans="1:30">
      <c r="A120" s="125" t="s">
        <v>2117</v>
      </c>
      <c r="B120" s="126" t="s">
        <v>1989</v>
      </c>
      <c r="C120" s="126">
        <f>C119+(BudgetsTable[[#This Row],[lead]]&lt;&gt;K119)</f>
        <v>27</v>
      </c>
      <c r="D120" s="126">
        <f>D119*(BudgetsTable[[#This Row],[lead]]=K119)+(BudgetsTable[[#This Row],[prop_id]]&lt;&gt;A119)</f>
        <v>2</v>
      </c>
      <c r="E120" s="127">
        <v>42809.488194444442</v>
      </c>
      <c r="F120" s="128" t="s">
        <v>1965</v>
      </c>
      <c r="G120" s="128" t="s">
        <v>741</v>
      </c>
      <c r="H120" s="128" t="s">
        <v>901</v>
      </c>
      <c r="I120" s="126" t="s">
        <v>948</v>
      </c>
      <c r="J120" s="126" t="s">
        <v>2121</v>
      </c>
      <c r="K120" s="128" t="s">
        <v>1140</v>
      </c>
      <c r="L120" s="7" t="str">
        <f>IF(BudgetsTable[[#This Row],[pi_last_name]]=" ","",HYPERLINK("https://www.ejacket.nsf.gov/ej/showProposal.do?Continue=Y&amp;ID="&amp;BudgetsTable[[#This Row],[prop_id]],BudgetsTable[[#This Row],[prop_id]]))</f>
        <v>1740746</v>
      </c>
      <c r="M120" s="15" t="str">
        <f>IF(BudgetsTable[[#This Row],[pi_last_name]]=" ","",HYPERLINK("https://www.ejacket.nsf.gov/ej/processReviewAnalysis.do?dispatch=add&amp;uniqId="&amp;BudgetsTable[[#This Row],[prop_id]]&amp;PO_id,"&gt;ra"))</f>
        <v>&gt;ra</v>
      </c>
      <c r="N120" s="128" t="s">
        <v>2118</v>
      </c>
      <c r="O120" s="7" t="str">
        <f>IF(BudgetsTable[[#This Row],[pi_last_name]]=" ","",HYPERLINK("mailto:"&amp;BudgetsTable[[#This Row],[pi_email]]&amp;"&amp;subject=Your NSF Proposal:  "&amp;BudgetsTable[[#This Row],[prop_id]],BudgetsTable[[#This Row],[pi_email]]))</f>
        <v>christlieb@math.msu.edu</v>
      </c>
      <c r="P120" s="128" t="s">
        <v>2119</v>
      </c>
      <c r="Q120" s="128"/>
      <c r="R120" s="128"/>
      <c r="S120" s="129"/>
      <c r="T120" s="129"/>
      <c r="U120" s="129"/>
      <c r="V120" s="130"/>
      <c r="W120" s="128">
        <v>0</v>
      </c>
      <c r="X120" s="128"/>
      <c r="Y120" s="131" t="str">
        <f ca="1">IF(ISBLANK(BudgetsTable[[#This Row],[budg_seq_yr]]),"FY"&amp;fiscalyear,"FY"&amp;fiscalyear-1+BudgetsTable[[#This Row],[budg_seq_yr]])</f>
        <v>FY18</v>
      </c>
      <c r="Z120" s="129">
        <v>436535</v>
      </c>
      <c r="AA120" s="128" t="s">
        <v>741</v>
      </c>
      <c r="AB120" s="128" t="s">
        <v>901</v>
      </c>
      <c r="AC120" s="126" t="s">
        <v>94</v>
      </c>
      <c r="AD120" s="128" t="s">
        <v>2007</v>
      </c>
    </row>
    <row r="121" spans="1:30">
      <c r="A121" s="125" t="s">
        <v>2117</v>
      </c>
      <c r="B121" s="126" t="s">
        <v>1989</v>
      </c>
      <c r="C121" s="126">
        <f>C120+(BudgetsTable[[#This Row],[lead]]&lt;&gt;K120)</f>
        <v>27</v>
      </c>
      <c r="D121" s="126">
        <f>D120*(BudgetsTable[[#This Row],[lead]]=K120)+(BudgetsTable[[#This Row],[prop_id]]&lt;&gt;A120)</f>
        <v>2</v>
      </c>
      <c r="E121" s="127">
        <v>42809.488194444442</v>
      </c>
      <c r="F121" s="128" t="s">
        <v>1965</v>
      </c>
      <c r="G121" s="128" t="s">
        <v>741</v>
      </c>
      <c r="H121" s="128" t="s">
        <v>901</v>
      </c>
      <c r="I121" s="126" t="s">
        <v>948</v>
      </c>
      <c r="J121" s="126" t="s">
        <v>13</v>
      </c>
      <c r="K121" s="128" t="s">
        <v>1140</v>
      </c>
      <c r="L121" s="7" t="str">
        <f>IF(BudgetsTable[[#This Row],[pi_last_name]]=" ","",HYPERLINK("https://www.ejacket.nsf.gov/ej/showProposal.do?Continue=Y&amp;ID="&amp;BudgetsTable[[#This Row],[prop_id]],BudgetsTable[[#This Row],[prop_id]]))</f>
        <v/>
      </c>
      <c r="M121" s="15" t="str">
        <f>IF(BudgetsTable[[#This Row],[pi_last_name]]=" ","",HYPERLINK("https://www.ejacket.nsf.gov/ej/processReviewAnalysis.do?dispatch=add&amp;uniqId="&amp;BudgetsTable[[#This Row],[prop_id]]&amp;PO_id,"&gt;ra"))</f>
        <v/>
      </c>
      <c r="N121" s="128" t="s">
        <v>13</v>
      </c>
      <c r="O121" s="7" t="str">
        <f>IF(BudgetsTable[[#This Row],[pi_last_name]]=" ","",HYPERLINK("mailto:"&amp;BudgetsTable[[#This Row],[pi_email]]&amp;"&amp;subject=Your NSF Proposal:  "&amp;BudgetsTable[[#This Row],[prop_id]],BudgetsTable[[#This Row],[pi_email]]))</f>
        <v/>
      </c>
      <c r="P121" s="128" t="s">
        <v>13</v>
      </c>
      <c r="Q121" s="128">
        <v>4</v>
      </c>
      <c r="R121" s="128">
        <v>0.54</v>
      </c>
      <c r="S121" s="129">
        <v>0</v>
      </c>
      <c r="T121" s="129">
        <v>0</v>
      </c>
      <c r="U121" s="129">
        <v>0</v>
      </c>
      <c r="V121" s="130">
        <v>140634</v>
      </c>
      <c r="W121" s="128">
        <v>0</v>
      </c>
      <c r="X121" s="128">
        <v>1</v>
      </c>
      <c r="Y121" s="131" t="str">
        <f ca="1">IF(ISBLANK(BudgetsTable[[#This Row],[budg_seq_yr]]),"FY"&amp;fiscalyear,"FY"&amp;fiscalyear-1+BudgetsTable[[#This Row],[budg_seq_yr]])</f>
        <v>FY18</v>
      </c>
      <c r="Z121" s="129">
        <v>140634</v>
      </c>
      <c r="AA121" s="128" t="s">
        <v>741</v>
      </c>
      <c r="AB121" s="128" t="s">
        <v>901</v>
      </c>
      <c r="AC121" s="126" t="s">
        <v>94</v>
      </c>
      <c r="AD121" s="128" t="s">
        <v>2007</v>
      </c>
    </row>
    <row r="122" spans="1:30">
      <c r="A122" s="125" t="s">
        <v>2117</v>
      </c>
      <c r="B122" s="126" t="s">
        <v>1989</v>
      </c>
      <c r="C122" s="126">
        <f>C121+(BudgetsTable[[#This Row],[lead]]&lt;&gt;K121)</f>
        <v>27</v>
      </c>
      <c r="D122" s="126">
        <f>D121*(BudgetsTable[[#This Row],[lead]]=K121)+(BudgetsTable[[#This Row],[prop_id]]&lt;&gt;A121)</f>
        <v>2</v>
      </c>
      <c r="E122" s="127">
        <v>42809.488194444442</v>
      </c>
      <c r="F122" s="128" t="s">
        <v>1965</v>
      </c>
      <c r="G122" s="128" t="s">
        <v>741</v>
      </c>
      <c r="H122" s="128" t="s">
        <v>901</v>
      </c>
      <c r="I122" s="126" t="s">
        <v>948</v>
      </c>
      <c r="J122" s="126" t="s">
        <v>13</v>
      </c>
      <c r="K122" s="128" t="s">
        <v>1140</v>
      </c>
      <c r="L122" s="7" t="str">
        <f>IF(BudgetsTable[[#This Row],[pi_last_name]]=" ","",HYPERLINK("https://www.ejacket.nsf.gov/ej/showProposal.do?Continue=Y&amp;ID="&amp;BudgetsTable[[#This Row],[prop_id]],BudgetsTable[[#This Row],[prop_id]]))</f>
        <v/>
      </c>
      <c r="M122" s="15" t="str">
        <f>IF(BudgetsTable[[#This Row],[pi_last_name]]=" ","",HYPERLINK("https://www.ejacket.nsf.gov/ej/processReviewAnalysis.do?dispatch=add&amp;uniqId="&amp;BudgetsTable[[#This Row],[prop_id]]&amp;PO_id,"&gt;ra"))</f>
        <v/>
      </c>
      <c r="N122" s="128" t="s">
        <v>13</v>
      </c>
      <c r="O122" s="7" t="str">
        <f>IF(BudgetsTable[[#This Row],[pi_last_name]]=" ","",HYPERLINK("mailto:"&amp;BudgetsTable[[#This Row],[pi_email]]&amp;"&amp;subject=Your NSF Proposal:  "&amp;BudgetsTable[[#This Row],[prop_id]],BudgetsTable[[#This Row],[pi_email]]))</f>
        <v/>
      </c>
      <c r="P122" s="128" t="s">
        <v>13</v>
      </c>
      <c r="Q122" s="128">
        <v>4</v>
      </c>
      <c r="R122" s="128">
        <v>0.54</v>
      </c>
      <c r="S122" s="129">
        <v>0</v>
      </c>
      <c r="T122" s="129">
        <v>0</v>
      </c>
      <c r="U122" s="129">
        <v>0</v>
      </c>
      <c r="V122" s="130">
        <v>145446</v>
      </c>
      <c r="W122" s="128">
        <v>0</v>
      </c>
      <c r="X122" s="128">
        <v>2</v>
      </c>
      <c r="Y122" s="131" t="str">
        <f ca="1">IF(ISBLANK(BudgetsTable[[#This Row],[budg_seq_yr]]),"FY"&amp;fiscalyear,"FY"&amp;fiscalyear-1+BudgetsTable[[#This Row],[budg_seq_yr]])</f>
        <v>FY19</v>
      </c>
      <c r="Z122" s="129">
        <v>145446</v>
      </c>
      <c r="AA122" s="128" t="s">
        <v>741</v>
      </c>
      <c r="AB122" s="128" t="s">
        <v>901</v>
      </c>
      <c r="AC122" s="126" t="s">
        <v>94</v>
      </c>
      <c r="AD122" s="128" t="s">
        <v>2007</v>
      </c>
    </row>
    <row r="123" spans="1:30">
      <c r="A123" s="125" t="s">
        <v>2117</v>
      </c>
      <c r="B123" s="126" t="s">
        <v>1989</v>
      </c>
      <c r="C123" s="126">
        <f>C122+(BudgetsTable[[#This Row],[lead]]&lt;&gt;K122)</f>
        <v>27</v>
      </c>
      <c r="D123" s="126">
        <f>D122*(BudgetsTable[[#This Row],[lead]]=K122)+(BudgetsTable[[#This Row],[prop_id]]&lt;&gt;A122)</f>
        <v>2</v>
      </c>
      <c r="E123" s="127">
        <v>42809.488194444442</v>
      </c>
      <c r="F123" s="128" t="s">
        <v>1965</v>
      </c>
      <c r="G123" s="128" t="s">
        <v>741</v>
      </c>
      <c r="H123" s="128" t="s">
        <v>901</v>
      </c>
      <c r="I123" s="126" t="s">
        <v>948</v>
      </c>
      <c r="J123" s="126" t="s">
        <v>13</v>
      </c>
      <c r="K123" s="128" t="s">
        <v>1140</v>
      </c>
      <c r="L123" s="7" t="str">
        <f>IF(BudgetsTable[[#This Row],[pi_last_name]]=" ","",HYPERLINK("https://www.ejacket.nsf.gov/ej/showProposal.do?Continue=Y&amp;ID="&amp;BudgetsTable[[#This Row],[prop_id]],BudgetsTable[[#This Row],[prop_id]]))</f>
        <v/>
      </c>
      <c r="M123" s="15" t="str">
        <f>IF(BudgetsTable[[#This Row],[pi_last_name]]=" ","",HYPERLINK("https://www.ejacket.nsf.gov/ej/processReviewAnalysis.do?dispatch=add&amp;uniqId="&amp;BudgetsTable[[#This Row],[prop_id]]&amp;PO_id,"&gt;ra"))</f>
        <v/>
      </c>
      <c r="N123" s="128" t="s">
        <v>13</v>
      </c>
      <c r="O123" s="7" t="str">
        <f>IF(BudgetsTable[[#This Row],[pi_last_name]]=" ","",HYPERLINK("mailto:"&amp;BudgetsTable[[#This Row],[pi_email]]&amp;"&amp;subject=Your NSF Proposal:  "&amp;BudgetsTable[[#This Row],[prop_id]],BudgetsTable[[#This Row],[pi_email]]))</f>
        <v/>
      </c>
      <c r="P123" s="128" t="s">
        <v>13</v>
      </c>
      <c r="Q123" s="128">
        <v>4</v>
      </c>
      <c r="R123" s="128">
        <v>0.54</v>
      </c>
      <c r="S123" s="129">
        <v>0</v>
      </c>
      <c r="T123" s="129">
        <v>0</v>
      </c>
      <c r="U123" s="129">
        <v>0</v>
      </c>
      <c r="V123" s="130">
        <v>150455</v>
      </c>
      <c r="W123" s="128">
        <v>0</v>
      </c>
      <c r="X123" s="128">
        <v>3</v>
      </c>
      <c r="Y123" s="131" t="str">
        <f ca="1">IF(ISBLANK(BudgetsTable[[#This Row],[budg_seq_yr]]),"FY"&amp;fiscalyear,"FY"&amp;fiscalyear-1+BudgetsTable[[#This Row],[budg_seq_yr]])</f>
        <v>FY20</v>
      </c>
      <c r="Z123" s="129">
        <v>150455</v>
      </c>
      <c r="AA123" s="128" t="s">
        <v>741</v>
      </c>
      <c r="AB123" s="128" t="s">
        <v>901</v>
      </c>
      <c r="AC123" s="126" t="s">
        <v>94</v>
      </c>
      <c r="AD123" s="128" t="s">
        <v>2007</v>
      </c>
    </row>
    <row r="124" spans="1:30">
      <c r="A124" s="125" t="s">
        <v>1148</v>
      </c>
      <c r="B124" s="126" t="s">
        <v>96</v>
      </c>
      <c r="C124" s="126">
        <f>C123+(BudgetsTable[[#This Row],[lead]]&lt;&gt;K123)</f>
        <v>28</v>
      </c>
      <c r="D124" s="126">
        <f>D123*(BudgetsTable[[#This Row],[lead]]=K123)+(BudgetsTable[[#This Row],[prop_id]]&lt;&gt;A123)</f>
        <v>1</v>
      </c>
      <c r="E124" s="127">
        <v>42809.54583333333</v>
      </c>
      <c r="F124" s="128" t="s">
        <v>1965</v>
      </c>
      <c r="G124" s="128" t="s">
        <v>741</v>
      </c>
      <c r="H124" s="128" t="s">
        <v>901</v>
      </c>
      <c r="I124" s="126" t="s">
        <v>543</v>
      </c>
      <c r="J124" s="126" t="s">
        <v>981</v>
      </c>
      <c r="K124" s="128" t="s">
        <v>1148</v>
      </c>
      <c r="L124" s="7" t="str">
        <f>IF(BudgetsTable[[#This Row],[pi_last_name]]=" ","",HYPERLINK("https://www.ejacket.nsf.gov/ej/showProposal.do?Continue=Y&amp;ID="&amp;BudgetsTable[[#This Row],[prop_id]],BudgetsTable[[#This Row],[prop_id]]))</f>
        <v>1740761</v>
      </c>
      <c r="M124" s="15" t="str">
        <f>IF(BudgetsTable[[#This Row],[pi_last_name]]=" ","",HYPERLINK("https://www.ejacket.nsf.gov/ej/processReviewAnalysis.do?dispatch=add&amp;uniqId="&amp;BudgetsTable[[#This Row],[prop_id]]&amp;PO_id,"&gt;ra"))</f>
        <v>&gt;ra</v>
      </c>
      <c r="N124" s="128" t="s">
        <v>980</v>
      </c>
      <c r="O124" s="7" t="str">
        <f>IF(BudgetsTable[[#This Row],[pi_last_name]]=" ","",HYPERLINK("mailto:"&amp;BudgetsTable[[#This Row],[pi_email]]&amp;"&amp;subject=Your NSF Proposal:  "&amp;BudgetsTable[[#This Row],[prop_id]],BudgetsTable[[#This Row],[pi_email]]))</f>
        <v>tamaldey@cse.ohio-state.edu</v>
      </c>
      <c r="P124" s="128" t="s">
        <v>2124</v>
      </c>
      <c r="Q124" s="128"/>
      <c r="R124" s="128"/>
      <c r="S124" s="129"/>
      <c r="T124" s="129"/>
      <c r="U124" s="129"/>
      <c r="V124" s="130"/>
      <c r="W124" s="128">
        <v>0</v>
      </c>
      <c r="X124" s="128"/>
      <c r="Y124" s="131" t="str">
        <f ca="1">IF(ISBLANK(BudgetsTable[[#This Row],[budg_seq_yr]]),"FY"&amp;fiscalyear,"FY"&amp;fiscalyear-1+BudgetsTable[[#This Row],[budg_seq_yr]])</f>
        <v>FY18</v>
      </c>
      <c r="Z124" s="129">
        <v>1500000</v>
      </c>
      <c r="AA124" s="128" t="s">
        <v>741</v>
      </c>
      <c r="AB124" s="128" t="s">
        <v>901</v>
      </c>
      <c r="AC124" s="126" t="s">
        <v>94</v>
      </c>
      <c r="AD124" s="128" t="s">
        <v>1968</v>
      </c>
    </row>
    <row r="125" spans="1:30">
      <c r="A125" s="125" t="s">
        <v>1148</v>
      </c>
      <c r="B125" s="126" t="s">
        <v>96</v>
      </c>
      <c r="C125" s="126">
        <f>C124+(BudgetsTable[[#This Row],[lead]]&lt;&gt;K124)</f>
        <v>28</v>
      </c>
      <c r="D125" s="126">
        <f>D124*(BudgetsTable[[#This Row],[lead]]=K124)+(BudgetsTable[[#This Row],[prop_id]]&lt;&gt;A124)</f>
        <v>1</v>
      </c>
      <c r="E125" s="127">
        <v>42809.54583333333</v>
      </c>
      <c r="F125" s="128" t="s">
        <v>1965</v>
      </c>
      <c r="G125" s="128" t="s">
        <v>741</v>
      </c>
      <c r="H125" s="128" t="s">
        <v>901</v>
      </c>
      <c r="I125" s="126" t="s">
        <v>543</v>
      </c>
      <c r="J125" s="126" t="s">
        <v>13</v>
      </c>
      <c r="K125" s="128" t="s">
        <v>1148</v>
      </c>
      <c r="L125" s="7" t="str">
        <f>IF(BudgetsTable[[#This Row],[pi_last_name]]=" ","",HYPERLINK("https://www.ejacket.nsf.gov/ej/showProposal.do?Continue=Y&amp;ID="&amp;BudgetsTable[[#This Row],[prop_id]],BudgetsTable[[#This Row],[prop_id]]))</f>
        <v/>
      </c>
      <c r="M125" s="15" t="str">
        <f>IF(BudgetsTable[[#This Row],[pi_last_name]]=" ","",HYPERLINK("https://www.ejacket.nsf.gov/ej/processReviewAnalysis.do?dispatch=add&amp;uniqId="&amp;BudgetsTable[[#This Row],[prop_id]]&amp;PO_id,"&gt;ra"))</f>
        <v/>
      </c>
      <c r="N125" s="128" t="s">
        <v>13</v>
      </c>
      <c r="O125" s="7" t="str">
        <f>IF(BudgetsTable[[#This Row],[pi_last_name]]=" ","",HYPERLINK("mailto:"&amp;BudgetsTable[[#This Row],[pi_email]]&amp;"&amp;subject=Your NSF Proposal:  "&amp;BudgetsTable[[#This Row],[prop_id]],BudgetsTable[[#This Row],[pi_email]]))</f>
        <v/>
      </c>
      <c r="P125" s="128" t="s">
        <v>13</v>
      </c>
      <c r="Q125" s="128">
        <v>5</v>
      </c>
      <c r="R125" s="128">
        <v>5.4</v>
      </c>
      <c r="S125" s="129">
        <v>50000</v>
      </c>
      <c r="T125" s="129">
        <v>2400</v>
      </c>
      <c r="U125" s="129">
        <v>33831</v>
      </c>
      <c r="V125" s="130">
        <v>500000</v>
      </c>
      <c r="W125" s="128">
        <v>0</v>
      </c>
      <c r="X125" s="128">
        <v>1</v>
      </c>
      <c r="Y125" s="131" t="str">
        <f ca="1">IF(ISBLANK(BudgetsTable[[#This Row],[budg_seq_yr]]),"FY"&amp;fiscalyear,"FY"&amp;fiscalyear-1+BudgetsTable[[#This Row],[budg_seq_yr]])</f>
        <v>FY18</v>
      </c>
      <c r="Z125" s="129">
        <v>500000</v>
      </c>
      <c r="AA125" s="128" t="s">
        <v>741</v>
      </c>
      <c r="AB125" s="128" t="s">
        <v>901</v>
      </c>
      <c r="AC125" s="126" t="s">
        <v>94</v>
      </c>
      <c r="AD125" s="128" t="s">
        <v>1968</v>
      </c>
    </row>
    <row r="126" spans="1:30">
      <c r="A126" s="125" t="s">
        <v>1148</v>
      </c>
      <c r="B126" s="126" t="s">
        <v>96</v>
      </c>
      <c r="C126" s="126">
        <f>C125+(BudgetsTable[[#This Row],[lead]]&lt;&gt;K125)</f>
        <v>28</v>
      </c>
      <c r="D126" s="126">
        <f>D125*(BudgetsTable[[#This Row],[lead]]=K125)+(BudgetsTable[[#This Row],[prop_id]]&lt;&gt;A125)</f>
        <v>1</v>
      </c>
      <c r="E126" s="127">
        <v>42809.54583333333</v>
      </c>
      <c r="F126" s="128" t="s">
        <v>1965</v>
      </c>
      <c r="G126" s="128" t="s">
        <v>741</v>
      </c>
      <c r="H126" s="128" t="s">
        <v>901</v>
      </c>
      <c r="I126" s="126" t="s">
        <v>543</v>
      </c>
      <c r="J126" s="126" t="s">
        <v>13</v>
      </c>
      <c r="K126" s="128" t="s">
        <v>1148</v>
      </c>
      <c r="L126" s="7" t="str">
        <f>IF(BudgetsTable[[#This Row],[pi_last_name]]=" ","",HYPERLINK("https://www.ejacket.nsf.gov/ej/showProposal.do?Continue=Y&amp;ID="&amp;BudgetsTable[[#This Row],[prop_id]],BudgetsTable[[#This Row],[prop_id]]))</f>
        <v/>
      </c>
      <c r="M126" s="15" t="str">
        <f>IF(BudgetsTable[[#This Row],[pi_last_name]]=" ","",HYPERLINK("https://www.ejacket.nsf.gov/ej/processReviewAnalysis.do?dispatch=add&amp;uniqId="&amp;BudgetsTable[[#This Row],[prop_id]]&amp;PO_id,"&gt;ra"))</f>
        <v/>
      </c>
      <c r="N126" s="128" t="s">
        <v>13</v>
      </c>
      <c r="O126" s="7" t="str">
        <f>IF(BudgetsTable[[#This Row],[pi_last_name]]=" ","",HYPERLINK("mailto:"&amp;BudgetsTable[[#This Row],[pi_email]]&amp;"&amp;subject=Your NSF Proposal:  "&amp;BudgetsTable[[#This Row],[prop_id]],BudgetsTable[[#This Row],[pi_email]]))</f>
        <v/>
      </c>
      <c r="P126" s="128" t="s">
        <v>13</v>
      </c>
      <c r="Q126" s="128">
        <v>6</v>
      </c>
      <c r="R126" s="128">
        <v>5.35</v>
      </c>
      <c r="S126" s="129">
        <v>60003</v>
      </c>
      <c r="T126" s="129">
        <v>1200</v>
      </c>
      <c r="U126" s="129">
        <v>26000</v>
      </c>
      <c r="V126" s="130">
        <v>500000</v>
      </c>
      <c r="W126" s="128">
        <v>0</v>
      </c>
      <c r="X126" s="128">
        <v>2</v>
      </c>
      <c r="Y126" s="131" t="str">
        <f ca="1">IF(ISBLANK(BudgetsTable[[#This Row],[budg_seq_yr]]),"FY"&amp;fiscalyear,"FY"&amp;fiscalyear-1+BudgetsTable[[#This Row],[budg_seq_yr]])</f>
        <v>FY19</v>
      </c>
      <c r="Z126" s="129">
        <v>500000</v>
      </c>
      <c r="AA126" s="128" t="s">
        <v>741</v>
      </c>
      <c r="AB126" s="128" t="s">
        <v>901</v>
      </c>
      <c r="AC126" s="126" t="s">
        <v>94</v>
      </c>
      <c r="AD126" s="128" t="s">
        <v>1968</v>
      </c>
    </row>
    <row r="127" spans="1:30">
      <c r="A127" s="125" t="s">
        <v>1148</v>
      </c>
      <c r="B127" s="126" t="s">
        <v>96</v>
      </c>
      <c r="C127" s="126">
        <f>C126+(BudgetsTable[[#This Row],[lead]]&lt;&gt;K126)</f>
        <v>28</v>
      </c>
      <c r="D127" s="126">
        <f>D126*(BudgetsTable[[#This Row],[lead]]=K126)+(BudgetsTable[[#This Row],[prop_id]]&lt;&gt;A126)</f>
        <v>1</v>
      </c>
      <c r="E127" s="127">
        <v>42809.54583333333</v>
      </c>
      <c r="F127" s="128" t="s">
        <v>1965</v>
      </c>
      <c r="G127" s="128" t="s">
        <v>741</v>
      </c>
      <c r="H127" s="128" t="s">
        <v>901</v>
      </c>
      <c r="I127" s="126" t="s">
        <v>543</v>
      </c>
      <c r="J127" s="126" t="s">
        <v>13</v>
      </c>
      <c r="K127" s="128" t="s">
        <v>1148</v>
      </c>
      <c r="L127" s="7" t="str">
        <f>IF(BudgetsTable[[#This Row],[pi_last_name]]=" ","",HYPERLINK("https://www.ejacket.nsf.gov/ej/showProposal.do?Continue=Y&amp;ID="&amp;BudgetsTable[[#This Row],[prop_id]],BudgetsTable[[#This Row],[prop_id]]))</f>
        <v/>
      </c>
      <c r="M127" s="15" t="str">
        <f>IF(BudgetsTable[[#This Row],[pi_last_name]]=" ","",HYPERLINK("https://www.ejacket.nsf.gov/ej/processReviewAnalysis.do?dispatch=add&amp;uniqId="&amp;BudgetsTable[[#This Row],[prop_id]]&amp;PO_id,"&gt;ra"))</f>
        <v/>
      </c>
      <c r="N127" s="128" t="s">
        <v>13</v>
      </c>
      <c r="O127" s="7" t="str">
        <f>IF(BudgetsTable[[#This Row],[pi_last_name]]=" ","",HYPERLINK("mailto:"&amp;BudgetsTable[[#This Row],[pi_email]]&amp;"&amp;subject=Your NSF Proposal:  "&amp;BudgetsTable[[#This Row],[prop_id]],BudgetsTable[[#This Row],[pi_email]]))</f>
        <v/>
      </c>
      <c r="P127" s="128" t="s">
        <v>13</v>
      </c>
      <c r="Q127" s="128">
        <v>6</v>
      </c>
      <c r="R127" s="128">
        <v>5.55</v>
      </c>
      <c r="S127" s="129">
        <v>71080</v>
      </c>
      <c r="T127" s="129">
        <v>1800</v>
      </c>
      <c r="U127" s="129">
        <v>26268</v>
      </c>
      <c r="V127" s="130">
        <v>500000</v>
      </c>
      <c r="W127" s="128">
        <v>0</v>
      </c>
      <c r="X127" s="128">
        <v>3</v>
      </c>
      <c r="Y127" s="131" t="str">
        <f ca="1">IF(ISBLANK(BudgetsTable[[#This Row],[budg_seq_yr]]),"FY"&amp;fiscalyear,"FY"&amp;fiscalyear-1+BudgetsTable[[#This Row],[budg_seq_yr]])</f>
        <v>FY20</v>
      </c>
      <c r="Z127" s="129">
        <v>500000</v>
      </c>
      <c r="AA127" s="128" t="s">
        <v>741</v>
      </c>
      <c r="AB127" s="128" t="s">
        <v>901</v>
      </c>
      <c r="AC127" s="126" t="s">
        <v>94</v>
      </c>
      <c r="AD127" s="128" t="s">
        <v>1968</v>
      </c>
    </row>
    <row r="128" spans="1:30">
      <c r="A128" s="125" t="s">
        <v>1159</v>
      </c>
      <c r="B128" s="126" t="s">
        <v>96</v>
      </c>
      <c r="C128" s="126">
        <f>C127+(BudgetsTable[[#This Row],[lead]]&lt;&gt;K127)</f>
        <v>29</v>
      </c>
      <c r="D128" s="126">
        <f>D127*(BudgetsTable[[#This Row],[lead]]=K127)+(BudgetsTable[[#This Row],[prop_id]]&lt;&gt;A127)</f>
        <v>1</v>
      </c>
      <c r="E128" s="127">
        <v>42809.573611111111</v>
      </c>
      <c r="F128" s="128" t="s">
        <v>1965</v>
      </c>
      <c r="G128" s="128" t="s">
        <v>741</v>
      </c>
      <c r="H128" s="128" t="s">
        <v>901</v>
      </c>
      <c r="I128" s="126" t="s">
        <v>543</v>
      </c>
      <c r="J128" s="126" t="s">
        <v>2130</v>
      </c>
      <c r="K128" s="128" t="s">
        <v>1159</v>
      </c>
      <c r="L128" s="7" t="str">
        <f>IF(BudgetsTable[[#This Row],[pi_last_name]]=" ","",HYPERLINK("https://www.ejacket.nsf.gov/ej/showProposal.do?Continue=Y&amp;ID="&amp;BudgetsTable[[#This Row],[prop_id]],BudgetsTable[[#This Row],[prop_id]]))</f>
        <v>1740769</v>
      </c>
      <c r="M128" s="15" t="str">
        <f>IF(BudgetsTable[[#This Row],[pi_last_name]]=" ","",HYPERLINK("https://www.ejacket.nsf.gov/ej/processReviewAnalysis.do?dispatch=add&amp;uniqId="&amp;BudgetsTable[[#This Row],[prop_id]]&amp;PO_id,"&gt;ra"))</f>
        <v>&gt;ra</v>
      </c>
      <c r="N128" s="128" t="s">
        <v>1160</v>
      </c>
      <c r="O128" s="7" t="str">
        <f>IF(BudgetsTable[[#This Row],[pi_last_name]]=" ","",HYPERLINK("mailto:"&amp;BudgetsTable[[#This Row],[pi_email]]&amp;"&amp;subject=Your NSF Proposal:  "&amp;BudgetsTable[[#This Row],[prop_id]],BudgetsTable[[#This Row],[pi_email]]))</f>
        <v>larry@stat.cmu.edu</v>
      </c>
      <c r="P128" s="128" t="s">
        <v>2127</v>
      </c>
      <c r="Q128" s="128"/>
      <c r="R128" s="128"/>
      <c r="S128" s="129"/>
      <c r="T128" s="129"/>
      <c r="U128" s="129"/>
      <c r="V128" s="130"/>
      <c r="W128" s="128">
        <v>0</v>
      </c>
      <c r="X128" s="128"/>
      <c r="Y128" s="131" t="str">
        <f ca="1">IF(ISBLANK(BudgetsTable[[#This Row],[budg_seq_yr]]),"FY"&amp;fiscalyear,"FY"&amp;fiscalyear-1+BudgetsTable[[#This Row],[budg_seq_yr]])</f>
        <v>FY18</v>
      </c>
      <c r="Z128" s="129">
        <v>1500000</v>
      </c>
      <c r="AA128" s="128" t="s">
        <v>741</v>
      </c>
      <c r="AB128" s="128" t="s">
        <v>901</v>
      </c>
      <c r="AC128" s="126" t="s">
        <v>94</v>
      </c>
      <c r="AD128" s="128" t="s">
        <v>1968</v>
      </c>
    </row>
    <row r="129" spans="1:30">
      <c r="A129" s="125" t="s">
        <v>1159</v>
      </c>
      <c r="B129" s="126" t="s">
        <v>96</v>
      </c>
      <c r="C129" s="126">
        <f>C128+(BudgetsTable[[#This Row],[lead]]&lt;&gt;K128)</f>
        <v>29</v>
      </c>
      <c r="D129" s="126">
        <f>D128*(BudgetsTable[[#This Row],[lead]]=K128)+(BudgetsTable[[#This Row],[prop_id]]&lt;&gt;A128)</f>
        <v>1</v>
      </c>
      <c r="E129" s="127">
        <v>42809.573611111111</v>
      </c>
      <c r="F129" s="128" t="s">
        <v>1965</v>
      </c>
      <c r="G129" s="128" t="s">
        <v>741</v>
      </c>
      <c r="H129" s="128" t="s">
        <v>901</v>
      </c>
      <c r="I129" s="126" t="s">
        <v>543</v>
      </c>
      <c r="J129" s="126" t="s">
        <v>13</v>
      </c>
      <c r="K129" s="128" t="s">
        <v>1159</v>
      </c>
      <c r="L129" s="7" t="str">
        <f>IF(BudgetsTable[[#This Row],[pi_last_name]]=" ","",HYPERLINK("https://www.ejacket.nsf.gov/ej/showProposal.do?Continue=Y&amp;ID="&amp;BudgetsTable[[#This Row],[prop_id]],BudgetsTable[[#This Row],[prop_id]]))</f>
        <v/>
      </c>
      <c r="M129" s="15" t="str">
        <f>IF(BudgetsTable[[#This Row],[pi_last_name]]=" ","",HYPERLINK("https://www.ejacket.nsf.gov/ej/processReviewAnalysis.do?dispatch=add&amp;uniqId="&amp;BudgetsTable[[#This Row],[prop_id]]&amp;PO_id,"&gt;ra"))</f>
        <v/>
      </c>
      <c r="N129" s="128" t="s">
        <v>13</v>
      </c>
      <c r="O129" s="7" t="str">
        <f>IF(BudgetsTable[[#This Row],[pi_last_name]]=" ","",HYPERLINK("mailto:"&amp;BudgetsTable[[#This Row],[pi_email]]&amp;"&amp;subject=Your NSF Proposal:  "&amp;BudgetsTable[[#This Row],[prop_id]],BudgetsTable[[#This Row],[pi_email]]))</f>
        <v/>
      </c>
      <c r="P129" s="128" t="s">
        <v>13</v>
      </c>
      <c r="Q129" s="128">
        <v>5</v>
      </c>
      <c r="R129" s="128">
        <v>1</v>
      </c>
      <c r="S129" s="129">
        <v>0</v>
      </c>
      <c r="T129" s="129">
        <v>0</v>
      </c>
      <c r="U129" s="129">
        <v>33270</v>
      </c>
      <c r="V129" s="130">
        <v>500000</v>
      </c>
      <c r="W129" s="128">
        <v>0</v>
      </c>
      <c r="X129" s="128">
        <v>1</v>
      </c>
      <c r="Y129" s="131" t="str">
        <f ca="1">IF(ISBLANK(BudgetsTable[[#This Row],[budg_seq_yr]]),"FY"&amp;fiscalyear,"FY"&amp;fiscalyear-1+BudgetsTable[[#This Row],[budg_seq_yr]])</f>
        <v>FY18</v>
      </c>
      <c r="Z129" s="129">
        <v>500000</v>
      </c>
      <c r="AA129" s="128" t="s">
        <v>741</v>
      </c>
      <c r="AB129" s="128" t="s">
        <v>901</v>
      </c>
      <c r="AC129" s="126" t="s">
        <v>94</v>
      </c>
      <c r="AD129" s="128" t="s">
        <v>1968</v>
      </c>
    </row>
    <row r="130" spans="1:30">
      <c r="A130" s="125" t="s">
        <v>1159</v>
      </c>
      <c r="B130" s="126" t="s">
        <v>96</v>
      </c>
      <c r="C130" s="126">
        <f>C129+(BudgetsTable[[#This Row],[lead]]&lt;&gt;K129)</f>
        <v>29</v>
      </c>
      <c r="D130" s="126">
        <f>D129*(BudgetsTable[[#This Row],[lead]]=K129)+(BudgetsTable[[#This Row],[prop_id]]&lt;&gt;A129)</f>
        <v>1</v>
      </c>
      <c r="E130" s="127">
        <v>42809.573611111111</v>
      </c>
      <c r="F130" s="128" t="s">
        <v>1965</v>
      </c>
      <c r="G130" s="128" t="s">
        <v>741</v>
      </c>
      <c r="H130" s="128" t="s">
        <v>901</v>
      </c>
      <c r="I130" s="126" t="s">
        <v>543</v>
      </c>
      <c r="J130" s="126" t="s">
        <v>13</v>
      </c>
      <c r="K130" s="128" t="s">
        <v>1159</v>
      </c>
      <c r="L130" s="7" t="str">
        <f>IF(BudgetsTable[[#This Row],[pi_last_name]]=" ","",HYPERLINK("https://www.ejacket.nsf.gov/ej/showProposal.do?Continue=Y&amp;ID="&amp;BudgetsTable[[#This Row],[prop_id]],BudgetsTable[[#This Row],[prop_id]]))</f>
        <v/>
      </c>
      <c r="M130" s="15" t="str">
        <f>IF(BudgetsTable[[#This Row],[pi_last_name]]=" ","",HYPERLINK("https://www.ejacket.nsf.gov/ej/processReviewAnalysis.do?dispatch=add&amp;uniqId="&amp;BudgetsTable[[#This Row],[prop_id]]&amp;PO_id,"&gt;ra"))</f>
        <v/>
      </c>
      <c r="N130" s="128" t="s">
        <v>13</v>
      </c>
      <c r="O130" s="7" t="str">
        <f>IF(BudgetsTable[[#This Row],[pi_last_name]]=" ","",HYPERLINK("mailto:"&amp;BudgetsTable[[#This Row],[pi_email]]&amp;"&amp;subject=Your NSF Proposal:  "&amp;BudgetsTable[[#This Row],[prop_id]],BudgetsTable[[#This Row],[pi_email]]))</f>
        <v/>
      </c>
      <c r="P130" s="128" t="s">
        <v>13</v>
      </c>
      <c r="Q130" s="128">
        <v>5</v>
      </c>
      <c r="R130" s="128">
        <v>1</v>
      </c>
      <c r="S130" s="129">
        <v>0</v>
      </c>
      <c r="T130" s="129">
        <v>0</v>
      </c>
      <c r="U130" s="129">
        <v>10000</v>
      </c>
      <c r="V130" s="130">
        <v>500000</v>
      </c>
      <c r="W130" s="128">
        <v>0</v>
      </c>
      <c r="X130" s="128">
        <v>2</v>
      </c>
      <c r="Y130" s="131" t="str">
        <f ca="1">IF(ISBLANK(BudgetsTable[[#This Row],[budg_seq_yr]]),"FY"&amp;fiscalyear,"FY"&amp;fiscalyear-1+BudgetsTable[[#This Row],[budg_seq_yr]])</f>
        <v>FY19</v>
      </c>
      <c r="Z130" s="129">
        <v>500000</v>
      </c>
      <c r="AA130" s="128" t="s">
        <v>741</v>
      </c>
      <c r="AB130" s="128" t="s">
        <v>901</v>
      </c>
      <c r="AC130" s="126" t="s">
        <v>94</v>
      </c>
      <c r="AD130" s="128" t="s">
        <v>1968</v>
      </c>
    </row>
    <row r="131" spans="1:30">
      <c r="A131" s="125" t="s">
        <v>1159</v>
      </c>
      <c r="B131" s="126" t="s">
        <v>96</v>
      </c>
      <c r="C131" s="126">
        <f>C130+(BudgetsTable[[#This Row],[lead]]&lt;&gt;K130)</f>
        <v>29</v>
      </c>
      <c r="D131" s="126">
        <f>D130*(BudgetsTable[[#This Row],[lead]]=K130)+(BudgetsTable[[#This Row],[prop_id]]&lt;&gt;A130)</f>
        <v>1</v>
      </c>
      <c r="E131" s="127">
        <v>42809.573611111111</v>
      </c>
      <c r="F131" s="128" t="s">
        <v>1965</v>
      </c>
      <c r="G131" s="128" t="s">
        <v>741</v>
      </c>
      <c r="H131" s="128" t="s">
        <v>901</v>
      </c>
      <c r="I131" s="126" t="s">
        <v>543</v>
      </c>
      <c r="J131" s="126" t="s">
        <v>13</v>
      </c>
      <c r="K131" s="128" t="s">
        <v>1159</v>
      </c>
      <c r="L131" s="7" t="str">
        <f>IF(BudgetsTable[[#This Row],[pi_last_name]]=" ","",HYPERLINK("https://www.ejacket.nsf.gov/ej/showProposal.do?Continue=Y&amp;ID="&amp;BudgetsTable[[#This Row],[prop_id]],BudgetsTable[[#This Row],[prop_id]]))</f>
        <v/>
      </c>
      <c r="M131" s="15" t="str">
        <f>IF(BudgetsTable[[#This Row],[pi_last_name]]=" ","",HYPERLINK("https://www.ejacket.nsf.gov/ej/processReviewAnalysis.do?dispatch=add&amp;uniqId="&amp;BudgetsTable[[#This Row],[prop_id]]&amp;PO_id,"&gt;ra"))</f>
        <v/>
      </c>
      <c r="N131" s="128" t="s">
        <v>13</v>
      </c>
      <c r="O131" s="7" t="str">
        <f>IF(BudgetsTable[[#This Row],[pi_last_name]]=" ","",HYPERLINK("mailto:"&amp;BudgetsTable[[#This Row],[pi_email]]&amp;"&amp;subject=Your NSF Proposal:  "&amp;BudgetsTable[[#This Row],[prop_id]],BudgetsTable[[#This Row],[pi_email]]))</f>
        <v/>
      </c>
      <c r="P131" s="128" t="s">
        <v>13</v>
      </c>
      <c r="Q131" s="128">
        <v>5</v>
      </c>
      <c r="R131" s="128">
        <v>1</v>
      </c>
      <c r="S131" s="129">
        <v>0</v>
      </c>
      <c r="T131" s="129">
        <v>0</v>
      </c>
      <c r="U131" s="129">
        <v>23270</v>
      </c>
      <c r="V131" s="130">
        <v>500000</v>
      </c>
      <c r="W131" s="128">
        <v>0</v>
      </c>
      <c r="X131" s="128">
        <v>3</v>
      </c>
      <c r="Y131" s="131" t="str">
        <f ca="1">IF(ISBLANK(BudgetsTable[[#This Row],[budg_seq_yr]]),"FY"&amp;fiscalyear,"FY"&amp;fiscalyear-1+BudgetsTable[[#This Row],[budg_seq_yr]])</f>
        <v>FY20</v>
      </c>
      <c r="Z131" s="129">
        <v>500000</v>
      </c>
      <c r="AA131" s="128" t="s">
        <v>741</v>
      </c>
      <c r="AB131" s="128" t="s">
        <v>901</v>
      </c>
      <c r="AC131" s="126" t="s">
        <v>94</v>
      </c>
      <c r="AD131" s="128" t="s">
        <v>1968</v>
      </c>
    </row>
    <row r="132" spans="1:30">
      <c r="A132" s="125" t="s">
        <v>1165</v>
      </c>
      <c r="B132" s="126" t="s">
        <v>96</v>
      </c>
      <c r="C132" s="126">
        <f>C131+(BudgetsTable[[#This Row],[lead]]&lt;&gt;K131)</f>
        <v>30</v>
      </c>
      <c r="D132" s="126">
        <f>D131*(BudgetsTable[[#This Row],[lead]]=K131)+(BudgetsTable[[#This Row],[prop_id]]&lt;&gt;A131)</f>
        <v>1</v>
      </c>
      <c r="E132" s="127">
        <v>42809.593055555553</v>
      </c>
      <c r="F132" s="128" t="s">
        <v>1965</v>
      </c>
      <c r="G132" s="128" t="s">
        <v>741</v>
      </c>
      <c r="H132" s="128" t="s">
        <v>901</v>
      </c>
      <c r="I132" s="126" t="s">
        <v>942</v>
      </c>
      <c r="J132" s="126" t="s">
        <v>2135</v>
      </c>
      <c r="K132" s="128" t="s">
        <v>1165</v>
      </c>
      <c r="L132" s="7" t="str">
        <f>IF(BudgetsTable[[#This Row],[pi_last_name]]=" ","",HYPERLINK("https://www.ejacket.nsf.gov/ej/showProposal.do?Continue=Y&amp;ID="&amp;BudgetsTable[[#This Row],[prop_id]],BudgetsTable[[#This Row],[prop_id]]))</f>
        <v>1740776</v>
      </c>
      <c r="M132" s="15" t="str">
        <f>IF(BudgetsTable[[#This Row],[pi_last_name]]=" ","",HYPERLINK("https://www.ejacket.nsf.gov/ej/processReviewAnalysis.do?dispatch=add&amp;uniqId="&amp;BudgetsTable[[#This Row],[prop_id]]&amp;PO_id,"&gt;ra"))</f>
        <v>&gt;ra</v>
      </c>
      <c r="N132" s="128" t="s">
        <v>1166</v>
      </c>
      <c r="O132" s="7" t="str">
        <f>IF(BudgetsTable[[#This Row],[pi_last_name]]=" ","",HYPERLINK("mailto:"&amp;BudgetsTable[[#This Row],[pi_email]]&amp;"&amp;subject=Your NSF Proposal:  "&amp;BudgetsTable[[#This Row],[prop_id]],BudgetsTable[[#This Row],[pi_email]]))</f>
        <v>xiaoming@isye.gatech.edu</v>
      </c>
      <c r="P132" s="128" t="s">
        <v>2133</v>
      </c>
      <c r="Q132" s="128"/>
      <c r="R132" s="128"/>
      <c r="S132" s="129"/>
      <c r="T132" s="129"/>
      <c r="U132" s="129"/>
      <c r="V132" s="130"/>
      <c r="W132" s="128">
        <v>0</v>
      </c>
      <c r="X132" s="128"/>
      <c r="Y132" s="131" t="str">
        <f ca="1">IF(ISBLANK(BudgetsTable[[#This Row],[budg_seq_yr]]),"FY"&amp;fiscalyear,"FY"&amp;fiscalyear-1+BudgetsTable[[#This Row],[budg_seq_yr]])</f>
        <v>FY18</v>
      </c>
      <c r="Z132" s="129">
        <v>1500000</v>
      </c>
      <c r="AA132" s="128" t="s">
        <v>741</v>
      </c>
      <c r="AB132" s="128" t="s">
        <v>901</v>
      </c>
      <c r="AC132" s="126" t="s">
        <v>94</v>
      </c>
      <c r="AD132" s="128" t="s">
        <v>1968</v>
      </c>
    </row>
    <row r="133" spans="1:30">
      <c r="A133" s="125" t="s">
        <v>1165</v>
      </c>
      <c r="B133" s="126" t="s">
        <v>96</v>
      </c>
      <c r="C133" s="126">
        <f>C132+(BudgetsTable[[#This Row],[lead]]&lt;&gt;K132)</f>
        <v>30</v>
      </c>
      <c r="D133" s="126">
        <f>D132*(BudgetsTable[[#This Row],[lead]]=K132)+(BudgetsTable[[#This Row],[prop_id]]&lt;&gt;A132)</f>
        <v>1</v>
      </c>
      <c r="E133" s="127">
        <v>42809.593055555553</v>
      </c>
      <c r="F133" s="128" t="s">
        <v>1965</v>
      </c>
      <c r="G133" s="128" t="s">
        <v>741</v>
      </c>
      <c r="H133" s="128" t="s">
        <v>901</v>
      </c>
      <c r="I133" s="126" t="s">
        <v>942</v>
      </c>
      <c r="J133" s="126" t="s">
        <v>13</v>
      </c>
      <c r="K133" s="128" t="s">
        <v>1165</v>
      </c>
      <c r="L133" s="7" t="str">
        <f>IF(BudgetsTable[[#This Row],[pi_last_name]]=" ","",HYPERLINK("https://www.ejacket.nsf.gov/ej/showProposal.do?Continue=Y&amp;ID="&amp;BudgetsTable[[#This Row],[prop_id]],BudgetsTable[[#This Row],[prop_id]]))</f>
        <v/>
      </c>
      <c r="M133" s="15" t="str">
        <f>IF(BudgetsTable[[#This Row],[pi_last_name]]=" ","",HYPERLINK("https://www.ejacket.nsf.gov/ej/processReviewAnalysis.do?dispatch=add&amp;uniqId="&amp;BudgetsTable[[#This Row],[prop_id]]&amp;PO_id,"&gt;ra"))</f>
        <v/>
      </c>
      <c r="N133" s="128" t="s">
        <v>13</v>
      </c>
      <c r="O133" s="7" t="str">
        <f>IF(BudgetsTable[[#This Row],[pi_last_name]]=" ","",HYPERLINK("mailto:"&amp;BudgetsTable[[#This Row],[pi_email]]&amp;"&amp;subject=Your NSF Proposal:  "&amp;BudgetsTable[[#This Row],[prop_id]],BudgetsTable[[#This Row],[pi_email]]))</f>
        <v/>
      </c>
      <c r="P133" s="128" t="s">
        <v>13</v>
      </c>
      <c r="Q133" s="128">
        <v>8</v>
      </c>
      <c r="R133" s="128">
        <v>0</v>
      </c>
      <c r="S133" s="129">
        <v>60000</v>
      </c>
      <c r="T133" s="129">
        <v>7500</v>
      </c>
      <c r="U133" s="129">
        <v>56250</v>
      </c>
      <c r="V133" s="130">
        <v>500000</v>
      </c>
      <c r="W133" s="128">
        <v>0</v>
      </c>
      <c r="X133" s="128">
        <v>1</v>
      </c>
      <c r="Y133" s="131" t="str">
        <f ca="1">IF(ISBLANK(BudgetsTable[[#This Row],[budg_seq_yr]]),"FY"&amp;fiscalyear,"FY"&amp;fiscalyear-1+BudgetsTable[[#This Row],[budg_seq_yr]])</f>
        <v>FY18</v>
      </c>
      <c r="Z133" s="129">
        <v>500000</v>
      </c>
      <c r="AA133" s="128" t="s">
        <v>741</v>
      </c>
      <c r="AB133" s="128" t="s">
        <v>901</v>
      </c>
      <c r="AC133" s="126" t="s">
        <v>94</v>
      </c>
      <c r="AD133" s="128" t="s">
        <v>1968</v>
      </c>
    </row>
    <row r="134" spans="1:30">
      <c r="A134" s="125" t="s">
        <v>1165</v>
      </c>
      <c r="B134" s="126" t="s">
        <v>96</v>
      </c>
      <c r="C134" s="126">
        <f>C133+(BudgetsTable[[#This Row],[lead]]&lt;&gt;K133)</f>
        <v>30</v>
      </c>
      <c r="D134" s="126">
        <f>D133*(BudgetsTable[[#This Row],[lead]]=K133)+(BudgetsTable[[#This Row],[prop_id]]&lt;&gt;A133)</f>
        <v>1</v>
      </c>
      <c r="E134" s="127">
        <v>42809.593055555553</v>
      </c>
      <c r="F134" s="128" t="s">
        <v>1965</v>
      </c>
      <c r="G134" s="128" t="s">
        <v>741</v>
      </c>
      <c r="H134" s="128" t="s">
        <v>901</v>
      </c>
      <c r="I134" s="126" t="s">
        <v>942</v>
      </c>
      <c r="J134" s="126" t="s">
        <v>13</v>
      </c>
      <c r="K134" s="128" t="s">
        <v>1165</v>
      </c>
      <c r="L134" s="7" t="str">
        <f>IF(BudgetsTable[[#This Row],[pi_last_name]]=" ","",HYPERLINK("https://www.ejacket.nsf.gov/ej/showProposal.do?Continue=Y&amp;ID="&amp;BudgetsTable[[#This Row],[prop_id]],BudgetsTable[[#This Row],[prop_id]]))</f>
        <v/>
      </c>
      <c r="M134" s="15" t="str">
        <f>IF(BudgetsTable[[#This Row],[pi_last_name]]=" ","",HYPERLINK("https://www.ejacket.nsf.gov/ej/processReviewAnalysis.do?dispatch=add&amp;uniqId="&amp;BudgetsTable[[#This Row],[prop_id]]&amp;PO_id,"&gt;ra"))</f>
        <v/>
      </c>
      <c r="N134" s="128" t="s">
        <v>13</v>
      </c>
      <c r="O134" s="7" t="str">
        <f>IF(BudgetsTable[[#This Row],[pi_last_name]]=" ","",HYPERLINK("mailto:"&amp;BudgetsTable[[#This Row],[pi_email]]&amp;"&amp;subject=Your NSF Proposal:  "&amp;BudgetsTable[[#This Row],[prop_id]],BudgetsTable[[#This Row],[pi_email]]))</f>
        <v/>
      </c>
      <c r="P134" s="128" t="s">
        <v>13</v>
      </c>
      <c r="Q134" s="128">
        <v>8</v>
      </c>
      <c r="R134" s="128">
        <v>0</v>
      </c>
      <c r="S134" s="129">
        <v>61800</v>
      </c>
      <c r="T134" s="129">
        <v>7500</v>
      </c>
      <c r="U134" s="129">
        <v>56250</v>
      </c>
      <c r="V134" s="130">
        <v>500000</v>
      </c>
      <c r="W134" s="128">
        <v>0</v>
      </c>
      <c r="X134" s="128">
        <v>2</v>
      </c>
      <c r="Y134" s="131" t="str">
        <f ca="1">IF(ISBLANK(BudgetsTable[[#This Row],[budg_seq_yr]]),"FY"&amp;fiscalyear,"FY"&amp;fiscalyear-1+BudgetsTable[[#This Row],[budg_seq_yr]])</f>
        <v>FY19</v>
      </c>
      <c r="Z134" s="129">
        <v>500000</v>
      </c>
      <c r="AA134" s="128" t="s">
        <v>741</v>
      </c>
      <c r="AB134" s="128" t="s">
        <v>901</v>
      </c>
      <c r="AC134" s="126" t="s">
        <v>94</v>
      </c>
      <c r="AD134" s="128" t="s">
        <v>1968</v>
      </c>
    </row>
    <row r="135" spans="1:30">
      <c r="A135" s="125" t="s">
        <v>1165</v>
      </c>
      <c r="B135" s="126" t="s">
        <v>96</v>
      </c>
      <c r="C135" s="126">
        <f>C134+(BudgetsTable[[#This Row],[lead]]&lt;&gt;K134)</f>
        <v>30</v>
      </c>
      <c r="D135" s="126">
        <f>D134*(BudgetsTable[[#This Row],[lead]]=K134)+(BudgetsTable[[#This Row],[prop_id]]&lt;&gt;A134)</f>
        <v>1</v>
      </c>
      <c r="E135" s="127">
        <v>42809.593055555553</v>
      </c>
      <c r="F135" s="128" t="s">
        <v>1965</v>
      </c>
      <c r="G135" s="128" t="s">
        <v>741</v>
      </c>
      <c r="H135" s="128" t="s">
        <v>901</v>
      </c>
      <c r="I135" s="126" t="s">
        <v>942</v>
      </c>
      <c r="J135" s="126" t="s">
        <v>13</v>
      </c>
      <c r="K135" s="128" t="s">
        <v>1165</v>
      </c>
      <c r="L135" s="7" t="str">
        <f>IF(BudgetsTable[[#This Row],[pi_last_name]]=" ","",HYPERLINK("https://www.ejacket.nsf.gov/ej/showProposal.do?Continue=Y&amp;ID="&amp;BudgetsTable[[#This Row],[prop_id]],BudgetsTable[[#This Row],[prop_id]]))</f>
        <v/>
      </c>
      <c r="M135" s="15" t="str">
        <f>IF(BudgetsTable[[#This Row],[pi_last_name]]=" ","",HYPERLINK("https://www.ejacket.nsf.gov/ej/processReviewAnalysis.do?dispatch=add&amp;uniqId="&amp;BudgetsTable[[#This Row],[prop_id]]&amp;PO_id,"&gt;ra"))</f>
        <v/>
      </c>
      <c r="N135" s="128" t="s">
        <v>13</v>
      </c>
      <c r="O135" s="7" t="str">
        <f>IF(BudgetsTable[[#This Row],[pi_last_name]]=" ","",HYPERLINK("mailto:"&amp;BudgetsTable[[#This Row],[pi_email]]&amp;"&amp;subject=Your NSF Proposal:  "&amp;BudgetsTable[[#This Row],[prop_id]],BudgetsTable[[#This Row],[pi_email]]))</f>
        <v/>
      </c>
      <c r="P135" s="128" t="s">
        <v>13</v>
      </c>
      <c r="Q135" s="128">
        <v>8</v>
      </c>
      <c r="R135" s="128">
        <v>0</v>
      </c>
      <c r="S135" s="129">
        <v>63654</v>
      </c>
      <c r="T135" s="129">
        <v>7500</v>
      </c>
      <c r="U135" s="129">
        <v>56250</v>
      </c>
      <c r="V135" s="130">
        <v>500000</v>
      </c>
      <c r="W135" s="128">
        <v>0</v>
      </c>
      <c r="X135" s="128">
        <v>3</v>
      </c>
      <c r="Y135" s="131" t="str">
        <f ca="1">IF(ISBLANK(BudgetsTable[[#This Row],[budg_seq_yr]]),"FY"&amp;fiscalyear,"FY"&amp;fiscalyear-1+BudgetsTable[[#This Row],[budg_seq_yr]])</f>
        <v>FY20</v>
      </c>
      <c r="Z135" s="129">
        <v>500000</v>
      </c>
      <c r="AA135" s="128" t="s">
        <v>741</v>
      </c>
      <c r="AB135" s="128" t="s">
        <v>901</v>
      </c>
      <c r="AC135" s="126" t="s">
        <v>94</v>
      </c>
      <c r="AD135" s="128" t="s">
        <v>1968</v>
      </c>
    </row>
    <row r="136" spans="1:30">
      <c r="A136" s="125" t="s">
        <v>1175</v>
      </c>
      <c r="B136" s="126" t="s">
        <v>1981</v>
      </c>
      <c r="C136" s="126">
        <f>C135+(BudgetsTable[[#This Row],[lead]]&lt;&gt;K135)</f>
        <v>31</v>
      </c>
      <c r="D136" s="126">
        <f>D135*(BudgetsTable[[#This Row],[lead]]=K135)+(BudgetsTable[[#This Row],[prop_id]]&lt;&gt;A135)</f>
        <v>1</v>
      </c>
      <c r="E136" s="127">
        <v>42809.597916666666</v>
      </c>
      <c r="F136" s="128" t="s">
        <v>1965</v>
      </c>
      <c r="G136" s="128" t="s">
        <v>741</v>
      </c>
      <c r="H136" s="128" t="s">
        <v>901</v>
      </c>
      <c r="I136" s="126" t="s">
        <v>540</v>
      </c>
      <c r="J136" s="126" t="s">
        <v>2140</v>
      </c>
      <c r="K136" s="128" t="s">
        <v>1175</v>
      </c>
      <c r="L136" s="7" t="str">
        <f>IF(BudgetsTable[[#This Row],[pi_last_name]]=" ","",HYPERLINK("https://www.ejacket.nsf.gov/ej/showProposal.do?Continue=Y&amp;ID="&amp;BudgetsTable[[#This Row],[prop_id]],BudgetsTable[[#This Row],[prop_id]]))</f>
        <v>1740779</v>
      </c>
      <c r="M136" s="15" t="str">
        <f>IF(BudgetsTable[[#This Row],[pi_last_name]]=" ","",HYPERLINK("https://www.ejacket.nsf.gov/ej/processReviewAnalysis.do?dispatch=add&amp;uniqId="&amp;BudgetsTable[[#This Row],[prop_id]]&amp;PO_id,"&gt;ra"))</f>
        <v>&gt;ra</v>
      </c>
      <c r="N136" s="128" t="s">
        <v>1176</v>
      </c>
      <c r="O136" s="7" t="str">
        <f>IF(BudgetsTable[[#This Row],[pi_last_name]]=" ","",HYPERLINK("mailto:"&amp;BudgetsTable[[#This Row],[pi_email]]&amp;"&amp;subject=Your NSF Proposal:  "&amp;BudgetsTable[[#This Row],[prop_id]],BudgetsTable[[#This Row],[pi_email]]))</f>
        <v>carbonjo@buffalostate.edu</v>
      </c>
      <c r="P136" s="128" t="s">
        <v>2137</v>
      </c>
      <c r="Q136" s="128"/>
      <c r="R136" s="128"/>
      <c r="S136" s="129"/>
      <c r="T136" s="129"/>
      <c r="U136" s="129"/>
      <c r="V136" s="130"/>
      <c r="W136" s="128">
        <v>0</v>
      </c>
      <c r="X136" s="128"/>
      <c r="Y136" s="131" t="str">
        <f ca="1">IF(ISBLANK(BudgetsTable[[#This Row],[budg_seq_yr]]),"FY"&amp;fiscalyear,"FY"&amp;fiscalyear-1+BudgetsTable[[#This Row],[budg_seq_yr]])</f>
        <v>FY18</v>
      </c>
      <c r="Z136" s="129">
        <v>285964</v>
      </c>
      <c r="AA136" s="128" t="s">
        <v>741</v>
      </c>
      <c r="AB136" s="128" t="s">
        <v>901</v>
      </c>
      <c r="AC136" s="126" t="s">
        <v>94</v>
      </c>
      <c r="AD136" s="128" t="s">
        <v>2007</v>
      </c>
    </row>
    <row r="137" spans="1:30">
      <c r="A137" s="125" t="s">
        <v>1175</v>
      </c>
      <c r="B137" s="126" t="s">
        <v>1981</v>
      </c>
      <c r="C137" s="126">
        <f>C136+(BudgetsTable[[#This Row],[lead]]&lt;&gt;K136)</f>
        <v>31</v>
      </c>
      <c r="D137" s="126">
        <f>D136*(BudgetsTable[[#This Row],[lead]]=K136)+(BudgetsTable[[#This Row],[prop_id]]&lt;&gt;A136)</f>
        <v>1</v>
      </c>
      <c r="E137" s="127">
        <v>42809.597916666666</v>
      </c>
      <c r="F137" s="128" t="s">
        <v>1965</v>
      </c>
      <c r="G137" s="128" t="s">
        <v>741</v>
      </c>
      <c r="H137" s="128" t="s">
        <v>901</v>
      </c>
      <c r="I137" s="126" t="s">
        <v>540</v>
      </c>
      <c r="J137" s="126" t="s">
        <v>13</v>
      </c>
      <c r="K137" s="128" t="s">
        <v>1175</v>
      </c>
      <c r="L137" s="7" t="str">
        <f>IF(BudgetsTable[[#This Row],[pi_last_name]]=" ","",HYPERLINK("https://www.ejacket.nsf.gov/ej/showProposal.do?Continue=Y&amp;ID="&amp;BudgetsTable[[#This Row],[prop_id]],BudgetsTable[[#This Row],[prop_id]]))</f>
        <v/>
      </c>
      <c r="M137" s="15" t="str">
        <f>IF(BudgetsTable[[#This Row],[pi_last_name]]=" ","",HYPERLINK("https://www.ejacket.nsf.gov/ej/processReviewAnalysis.do?dispatch=add&amp;uniqId="&amp;BudgetsTable[[#This Row],[prop_id]]&amp;PO_id,"&gt;ra"))</f>
        <v/>
      </c>
      <c r="N137" s="128" t="s">
        <v>13</v>
      </c>
      <c r="O137" s="7" t="str">
        <f>IF(BudgetsTable[[#This Row],[pi_last_name]]=" ","",HYPERLINK("mailto:"&amp;BudgetsTable[[#This Row],[pi_email]]&amp;"&amp;subject=Your NSF Proposal:  "&amp;BudgetsTable[[#This Row],[prop_id]],BudgetsTable[[#This Row],[pi_email]]))</f>
        <v/>
      </c>
      <c r="P137" s="128" t="s">
        <v>13</v>
      </c>
      <c r="Q137" s="128">
        <v>2</v>
      </c>
      <c r="R137" s="128">
        <v>2</v>
      </c>
      <c r="S137" s="129">
        <v>0</v>
      </c>
      <c r="T137" s="129">
        <v>0</v>
      </c>
      <c r="U137" s="129">
        <v>5000</v>
      </c>
      <c r="V137" s="130">
        <v>92941</v>
      </c>
      <c r="W137" s="128">
        <v>0</v>
      </c>
      <c r="X137" s="128">
        <v>1</v>
      </c>
      <c r="Y137" s="131" t="str">
        <f ca="1">IF(ISBLANK(BudgetsTable[[#This Row],[budg_seq_yr]]),"FY"&amp;fiscalyear,"FY"&amp;fiscalyear-1+BudgetsTable[[#This Row],[budg_seq_yr]])</f>
        <v>FY18</v>
      </c>
      <c r="Z137" s="129">
        <v>92941</v>
      </c>
      <c r="AA137" s="128" t="s">
        <v>741</v>
      </c>
      <c r="AB137" s="128" t="s">
        <v>901</v>
      </c>
      <c r="AC137" s="126" t="s">
        <v>94</v>
      </c>
      <c r="AD137" s="128" t="s">
        <v>2007</v>
      </c>
    </row>
    <row r="138" spans="1:30">
      <c r="A138" s="125" t="s">
        <v>1175</v>
      </c>
      <c r="B138" s="126" t="s">
        <v>1981</v>
      </c>
      <c r="C138" s="126">
        <f>C137+(BudgetsTable[[#This Row],[lead]]&lt;&gt;K137)</f>
        <v>31</v>
      </c>
      <c r="D138" s="126">
        <f>D137*(BudgetsTable[[#This Row],[lead]]=K137)+(BudgetsTable[[#This Row],[prop_id]]&lt;&gt;A137)</f>
        <v>1</v>
      </c>
      <c r="E138" s="127">
        <v>42809.597916666666</v>
      </c>
      <c r="F138" s="128" t="s">
        <v>1965</v>
      </c>
      <c r="G138" s="128" t="s">
        <v>741</v>
      </c>
      <c r="H138" s="128" t="s">
        <v>901</v>
      </c>
      <c r="I138" s="126" t="s">
        <v>540</v>
      </c>
      <c r="J138" s="126" t="s">
        <v>13</v>
      </c>
      <c r="K138" s="128" t="s">
        <v>1175</v>
      </c>
      <c r="L138" s="7" t="str">
        <f>IF(BudgetsTable[[#This Row],[pi_last_name]]=" ","",HYPERLINK("https://www.ejacket.nsf.gov/ej/showProposal.do?Continue=Y&amp;ID="&amp;BudgetsTable[[#This Row],[prop_id]],BudgetsTable[[#This Row],[prop_id]]))</f>
        <v/>
      </c>
      <c r="M138" s="15" t="str">
        <f>IF(BudgetsTable[[#This Row],[pi_last_name]]=" ","",HYPERLINK("https://www.ejacket.nsf.gov/ej/processReviewAnalysis.do?dispatch=add&amp;uniqId="&amp;BudgetsTable[[#This Row],[prop_id]]&amp;PO_id,"&gt;ra"))</f>
        <v/>
      </c>
      <c r="N138" s="128" t="s">
        <v>13</v>
      </c>
      <c r="O138" s="7" t="str">
        <f>IF(BudgetsTable[[#This Row],[pi_last_name]]=" ","",HYPERLINK("mailto:"&amp;BudgetsTable[[#This Row],[pi_email]]&amp;"&amp;subject=Your NSF Proposal:  "&amp;BudgetsTable[[#This Row],[prop_id]],BudgetsTable[[#This Row],[pi_email]]))</f>
        <v/>
      </c>
      <c r="P138" s="128" t="s">
        <v>13</v>
      </c>
      <c r="Q138" s="128">
        <v>2</v>
      </c>
      <c r="R138" s="128">
        <v>2</v>
      </c>
      <c r="S138" s="129">
        <v>0</v>
      </c>
      <c r="T138" s="129">
        <v>0</v>
      </c>
      <c r="U138" s="129">
        <v>0</v>
      </c>
      <c r="V138" s="130">
        <v>96688</v>
      </c>
      <c r="W138" s="128">
        <v>0</v>
      </c>
      <c r="X138" s="128">
        <v>2</v>
      </c>
      <c r="Y138" s="131" t="str">
        <f ca="1">IF(ISBLANK(BudgetsTable[[#This Row],[budg_seq_yr]]),"FY"&amp;fiscalyear,"FY"&amp;fiscalyear-1+BudgetsTable[[#This Row],[budg_seq_yr]])</f>
        <v>FY19</v>
      </c>
      <c r="Z138" s="129">
        <v>96688</v>
      </c>
      <c r="AA138" s="128" t="s">
        <v>741</v>
      </c>
      <c r="AB138" s="128" t="s">
        <v>901</v>
      </c>
      <c r="AC138" s="126" t="s">
        <v>94</v>
      </c>
      <c r="AD138" s="128" t="s">
        <v>2007</v>
      </c>
    </row>
    <row r="139" spans="1:30">
      <c r="A139" s="125" t="s">
        <v>1175</v>
      </c>
      <c r="B139" s="126" t="s">
        <v>1981</v>
      </c>
      <c r="C139" s="126">
        <f>C138+(BudgetsTable[[#This Row],[lead]]&lt;&gt;K138)</f>
        <v>31</v>
      </c>
      <c r="D139" s="126">
        <f>D138*(BudgetsTable[[#This Row],[lead]]=K138)+(BudgetsTable[[#This Row],[prop_id]]&lt;&gt;A138)</f>
        <v>1</v>
      </c>
      <c r="E139" s="127">
        <v>42809.597916666666</v>
      </c>
      <c r="F139" s="128" t="s">
        <v>1965</v>
      </c>
      <c r="G139" s="128" t="s">
        <v>741</v>
      </c>
      <c r="H139" s="128" t="s">
        <v>901</v>
      </c>
      <c r="I139" s="126" t="s">
        <v>540</v>
      </c>
      <c r="J139" s="126" t="s">
        <v>13</v>
      </c>
      <c r="K139" s="128" t="s">
        <v>1175</v>
      </c>
      <c r="L139" s="7" t="str">
        <f>IF(BudgetsTable[[#This Row],[pi_last_name]]=" ","",HYPERLINK("https://www.ejacket.nsf.gov/ej/showProposal.do?Continue=Y&amp;ID="&amp;BudgetsTable[[#This Row],[prop_id]],BudgetsTable[[#This Row],[prop_id]]))</f>
        <v/>
      </c>
      <c r="M139" s="15" t="str">
        <f>IF(BudgetsTable[[#This Row],[pi_last_name]]=" ","",HYPERLINK("https://www.ejacket.nsf.gov/ej/processReviewAnalysis.do?dispatch=add&amp;uniqId="&amp;BudgetsTable[[#This Row],[prop_id]]&amp;PO_id,"&gt;ra"))</f>
        <v/>
      </c>
      <c r="N139" s="128" t="s">
        <v>13</v>
      </c>
      <c r="O139" s="7" t="str">
        <f>IF(BudgetsTable[[#This Row],[pi_last_name]]=" ","",HYPERLINK("mailto:"&amp;BudgetsTable[[#This Row],[pi_email]]&amp;"&amp;subject=Your NSF Proposal:  "&amp;BudgetsTable[[#This Row],[prop_id]],BudgetsTable[[#This Row],[pi_email]]))</f>
        <v/>
      </c>
      <c r="P139" s="128" t="s">
        <v>13</v>
      </c>
      <c r="Q139" s="128">
        <v>2</v>
      </c>
      <c r="R139" s="128">
        <v>2</v>
      </c>
      <c r="S139" s="129">
        <v>0</v>
      </c>
      <c r="T139" s="129">
        <v>0</v>
      </c>
      <c r="U139" s="129">
        <v>5000</v>
      </c>
      <c r="V139" s="130">
        <v>96335</v>
      </c>
      <c r="W139" s="128">
        <v>0</v>
      </c>
      <c r="X139" s="128">
        <v>3</v>
      </c>
      <c r="Y139" s="131" t="str">
        <f ca="1">IF(ISBLANK(BudgetsTable[[#This Row],[budg_seq_yr]]),"FY"&amp;fiscalyear,"FY"&amp;fiscalyear-1+BudgetsTable[[#This Row],[budg_seq_yr]])</f>
        <v>FY20</v>
      </c>
      <c r="Z139" s="129">
        <v>96335</v>
      </c>
      <c r="AA139" s="128" t="s">
        <v>741</v>
      </c>
      <c r="AB139" s="128" t="s">
        <v>901</v>
      </c>
      <c r="AC139" s="126" t="s">
        <v>94</v>
      </c>
      <c r="AD139" s="128" t="s">
        <v>2007</v>
      </c>
    </row>
    <row r="140" spans="1:30">
      <c r="A140" s="125" t="s">
        <v>2141</v>
      </c>
      <c r="B140" s="126" t="s">
        <v>1989</v>
      </c>
      <c r="C140" s="126">
        <f>C139+(BudgetsTable[[#This Row],[lead]]&lt;&gt;K139)</f>
        <v>31</v>
      </c>
      <c r="D140" s="126">
        <f>D139*(BudgetsTable[[#This Row],[lead]]=K139)+(BudgetsTable[[#This Row],[prop_id]]&lt;&gt;A139)</f>
        <v>2</v>
      </c>
      <c r="E140" s="127">
        <v>42809.414583333331</v>
      </c>
      <c r="F140" s="128" t="s">
        <v>1965</v>
      </c>
      <c r="G140" s="128" t="s">
        <v>741</v>
      </c>
      <c r="H140" s="128" t="s">
        <v>901</v>
      </c>
      <c r="I140" s="126" t="s">
        <v>540</v>
      </c>
      <c r="J140" s="126" t="s">
        <v>2145</v>
      </c>
      <c r="K140" s="128" t="s">
        <v>1175</v>
      </c>
      <c r="L140" s="7" t="str">
        <f>IF(BudgetsTable[[#This Row],[pi_last_name]]=" ","",HYPERLINK("https://www.ejacket.nsf.gov/ej/showProposal.do?Continue=Y&amp;ID="&amp;BudgetsTable[[#This Row],[prop_id]],BudgetsTable[[#This Row],[prop_id]]))</f>
        <v>1740731</v>
      </c>
      <c r="M140" s="15" t="str">
        <f>IF(BudgetsTable[[#This Row],[pi_last_name]]=" ","",HYPERLINK("https://www.ejacket.nsf.gov/ej/processReviewAnalysis.do?dispatch=add&amp;uniqId="&amp;BudgetsTable[[#This Row],[prop_id]]&amp;PO_id,"&gt;ra"))</f>
        <v>&gt;ra</v>
      </c>
      <c r="N140" s="128" t="s">
        <v>2142</v>
      </c>
      <c r="O140" s="7" t="str">
        <f>IF(BudgetsTable[[#This Row],[pi_last_name]]=" ","",HYPERLINK("mailto:"&amp;BudgetsTable[[#This Row],[pi_email]]&amp;"&amp;subject=Your NSF Proposal:  "&amp;BudgetsTable[[#This Row],[prop_id]],BudgetsTable[[#This Row],[pi_email]]))</f>
        <v>jsperhac@buffalo.edu</v>
      </c>
      <c r="P140" s="128" t="s">
        <v>2144</v>
      </c>
      <c r="Q140" s="128"/>
      <c r="R140" s="128"/>
      <c r="S140" s="129"/>
      <c r="T140" s="129"/>
      <c r="U140" s="129"/>
      <c r="V140" s="130"/>
      <c r="W140" s="128">
        <v>0</v>
      </c>
      <c r="X140" s="128"/>
      <c r="Y140" s="131" t="str">
        <f ca="1">IF(ISBLANK(BudgetsTable[[#This Row],[budg_seq_yr]]),"FY"&amp;fiscalyear,"FY"&amp;fiscalyear-1+BudgetsTable[[#This Row],[budg_seq_yr]])</f>
        <v>FY18</v>
      </c>
      <c r="Z140" s="129">
        <v>209549</v>
      </c>
      <c r="AA140" s="128" t="s">
        <v>741</v>
      </c>
      <c r="AB140" s="128" t="s">
        <v>901</v>
      </c>
      <c r="AC140" s="126" t="s">
        <v>94</v>
      </c>
      <c r="AD140" s="128" t="s">
        <v>2007</v>
      </c>
    </row>
    <row r="141" spans="1:30">
      <c r="A141" s="125" t="s">
        <v>2141</v>
      </c>
      <c r="B141" s="126" t="s">
        <v>1989</v>
      </c>
      <c r="C141" s="126">
        <f>C140+(BudgetsTable[[#This Row],[lead]]&lt;&gt;K140)</f>
        <v>31</v>
      </c>
      <c r="D141" s="126">
        <f>D140*(BudgetsTable[[#This Row],[lead]]=K140)+(BudgetsTable[[#This Row],[prop_id]]&lt;&gt;A140)</f>
        <v>2</v>
      </c>
      <c r="E141" s="127">
        <v>42809.414583333331</v>
      </c>
      <c r="F141" s="128" t="s">
        <v>1965</v>
      </c>
      <c r="G141" s="128" t="s">
        <v>741</v>
      </c>
      <c r="H141" s="128" t="s">
        <v>901</v>
      </c>
      <c r="I141" s="126" t="s">
        <v>540</v>
      </c>
      <c r="J141" s="126" t="s">
        <v>13</v>
      </c>
      <c r="K141" s="128" t="s">
        <v>1175</v>
      </c>
      <c r="L141" s="7" t="str">
        <f>IF(BudgetsTable[[#This Row],[pi_last_name]]=" ","",HYPERLINK("https://www.ejacket.nsf.gov/ej/showProposal.do?Continue=Y&amp;ID="&amp;BudgetsTable[[#This Row],[prop_id]],BudgetsTable[[#This Row],[prop_id]]))</f>
        <v/>
      </c>
      <c r="M141" s="15" t="str">
        <f>IF(BudgetsTable[[#This Row],[pi_last_name]]=" ","",HYPERLINK("https://www.ejacket.nsf.gov/ej/processReviewAnalysis.do?dispatch=add&amp;uniqId="&amp;BudgetsTable[[#This Row],[prop_id]]&amp;PO_id,"&gt;ra"))</f>
        <v/>
      </c>
      <c r="N141" s="128" t="s">
        <v>13</v>
      </c>
      <c r="O141" s="7" t="str">
        <f>IF(BudgetsTable[[#This Row],[pi_last_name]]=" ","",HYPERLINK("mailto:"&amp;BudgetsTable[[#This Row],[pi_email]]&amp;"&amp;subject=Your NSF Proposal:  "&amp;BudgetsTable[[#This Row],[prop_id]],BudgetsTable[[#This Row],[pi_email]]))</f>
        <v/>
      </c>
      <c r="P141" s="128" t="s">
        <v>13</v>
      </c>
      <c r="Q141" s="128">
        <v>1</v>
      </c>
      <c r="R141" s="128">
        <v>0</v>
      </c>
      <c r="S141" s="129">
        <v>0</v>
      </c>
      <c r="T141" s="129">
        <v>0</v>
      </c>
      <c r="U141" s="129">
        <v>0</v>
      </c>
      <c r="V141" s="130">
        <v>85655</v>
      </c>
      <c r="W141" s="128">
        <v>0</v>
      </c>
      <c r="X141" s="128">
        <v>1</v>
      </c>
      <c r="Y141" s="131" t="str">
        <f ca="1">IF(ISBLANK(BudgetsTable[[#This Row],[budg_seq_yr]]),"FY"&amp;fiscalyear,"FY"&amp;fiscalyear-1+BudgetsTable[[#This Row],[budg_seq_yr]])</f>
        <v>FY18</v>
      </c>
      <c r="Z141" s="129">
        <v>85655</v>
      </c>
      <c r="AA141" s="128" t="s">
        <v>741</v>
      </c>
      <c r="AB141" s="128" t="s">
        <v>901</v>
      </c>
      <c r="AC141" s="126" t="s">
        <v>94</v>
      </c>
      <c r="AD141" s="128" t="s">
        <v>2007</v>
      </c>
    </row>
    <row r="142" spans="1:30">
      <c r="A142" s="125" t="s">
        <v>2141</v>
      </c>
      <c r="B142" s="126" t="s">
        <v>1989</v>
      </c>
      <c r="C142" s="126">
        <f>C141+(BudgetsTable[[#This Row],[lead]]&lt;&gt;K141)</f>
        <v>31</v>
      </c>
      <c r="D142" s="126">
        <f>D141*(BudgetsTable[[#This Row],[lead]]=K141)+(BudgetsTable[[#This Row],[prop_id]]&lt;&gt;A141)</f>
        <v>2</v>
      </c>
      <c r="E142" s="127">
        <v>42809.414583333331</v>
      </c>
      <c r="F142" s="128" t="s">
        <v>1965</v>
      </c>
      <c r="G142" s="128" t="s">
        <v>741</v>
      </c>
      <c r="H142" s="128" t="s">
        <v>901</v>
      </c>
      <c r="I142" s="126" t="s">
        <v>540</v>
      </c>
      <c r="J142" s="126" t="s">
        <v>13</v>
      </c>
      <c r="K142" s="128" t="s">
        <v>1175</v>
      </c>
      <c r="L142" s="7" t="str">
        <f>IF(BudgetsTable[[#This Row],[pi_last_name]]=" ","",HYPERLINK("https://www.ejacket.nsf.gov/ej/showProposal.do?Continue=Y&amp;ID="&amp;BudgetsTable[[#This Row],[prop_id]],BudgetsTable[[#This Row],[prop_id]]))</f>
        <v/>
      </c>
      <c r="M142" s="15" t="str">
        <f>IF(BudgetsTable[[#This Row],[pi_last_name]]=" ","",HYPERLINK("https://www.ejacket.nsf.gov/ej/processReviewAnalysis.do?dispatch=add&amp;uniqId="&amp;BudgetsTable[[#This Row],[prop_id]]&amp;PO_id,"&gt;ra"))</f>
        <v/>
      </c>
      <c r="N142" s="128" t="s">
        <v>13</v>
      </c>
      <c r="O142" s="7" t="str">
        <f>IF(BudgetsTable[[#This Row],[pi_last_name]]=" ","",HYPERLINK("mailto:"&amp;BudgetsTable[[#This Row],[pi_email]]&amp;"&amp;subject=Your NSF Proposal:  "&amp;BudgetsTable[[#This Row],[prop_id]],BudgetsTable[[#This Row],[pi_email]]))</f>
        <v/>
      </c>
      <c r="P142" s="128" t="s">
        <v>13</v>
      </c>
      <c r="Q142" s="128">
        <v>1</v>
      </c>
      <c r="R142" s="128">
        <v>0</v>
      </c>
      <c r="S142" s="129">
        <v>0</v>
      </c>
      <c r="T142" s="129">
        <v>0</v>
      </c>
      <c r="U142" s="129">
        <v>0</v>
      </c>
      <c r="V142" s="130">
        <v>37211</v>
      </c>
      <c r="W142" s="128">
        <v>0</v>
      </c>
      <c r="X142" s="128">
        <v>2</v>
      </c>
      <c r="Y142" s="131" t="str">
        <f ca="1">IF(ISBLANK(BudgetsTable[[#This Row],[budg_seq_yr]]),"FY"&amp;fiscalyear,"FY"&amp;fiscalyear-1+BudgetsTable[[#This Row],[budg_seq_yr]])</f>
        <v>FY19</v>
      </c>
      <c r="Z142" s="129">
        <v>37211</v>
      </c>
      <c r="AA142" s="128" t="s">
        <v>741</v>
      </c>
      <c r="AB142" s="128" t="s">
        <v>901</v>
      </c>
      <c r="AC142" s="126" t="s">
        <v>94</v>
      </c>
      <c r="AD142" s="128" t="s">
        <v>2007</v>
      </c>
    </row>
    <row r="143" spans="1:30">
      <c r="A143" s="125" t="s">
        <v>2141</v>
      </c>
      <c r="B143" s="126" t="s">
        <v>1989</v>
      </c>
      <c r="C143" s="126">
        <f>C142+(BudgetsTable[[#This Row],[lead]]&lt;&gt;K142)</f>
        <v>31</v>
      </c>
      <c r="D143" s="126">
        <f>D142*(BudgetsTable[[#This Row],[lead]]=K142)+(BudgetsTable[[#This Row],[prop_id]]&lt;&gt;A142)</f>
        <v>2</v>
      </c>
      <c r="E143" s="127">
        <v>42809.414583333331</v>
      </c>
      <c r="F143" s="128" t="s">
        <v>1965</v>
      </c>
      <c r="G143" s="128" t="s">
        <v>741</v>
      </c>
      <c r="H143" s="128" t="s">
        <v>901</v>
      </c>
      <c r="I143" s="126" t="s">
        <v>540</v>
      </c>
      <c r="J143" s="126" t="s">
        <v>13</v>
      </c>
      <c r="K143" s="128" t="s">
        <v>1175</v>
      </c>
      <c r="L143" s="7" t="str">
        <f>IF(BudgetsTable[[#This Row],[pi_last_name]]=" ","",HYPERLINK("https://www.ejacket.nsf.gov/ej/showProposal.do?Continue=Y&amp;ID="&amp;BudgetsTable[[#This Row],[prop_id]],BudgetsTable[[#This Row],[prop_id]]))</f>
        <v/>
      </c>
      <c r="M143" s="15" t="str">
        <f>IF(BudgetsTable[[#This Row],[pi_last_name]]=" ","",HYPERLINK("https://www.ejacket.nsf.gov/ej/processReviewAnalysis.do?dispatch=add&amp;uniqId="&amp;BudgetsTable[[#This Row],[prop_id]]&amp;PO_id,"&gt;ra"))</f>
        <v/>
      </c>
      <c r="N143" s="128" t="s">
        <v>13</v>
      </c>
      <c r="O143" s="7" t="str">
        <f>IF(BudgetsTable[[#This Row],[pi_last_name]]=" ","",HYPERLINK("mailto:"&amp;BudgetsTable[[#This Row],[pi_email]]&amp;"&amp;subject=Your NSF Proposal:  "&amp;BudgetsTable[[#This Row],[prop_id]],BudgetsTable[[#This Row],[pi_email]]))</f>
        <v/>
      </c>
      <c r="P143" s="128" t="s">
        <v>13</v>
      </c>
      <c r="Q143" s="128">
        <v>1</v>
      </c>
      <c r="R143" s="128">
        <v>0</v>
      </c>
      <c r="S143" s="129">
        <v>0</v>
      </c>
      <c r="T143" s="129">
        <v>0</v>
      </c>
      <c r="U143" s="129">
        <v>0</v>
      </c>
      <c r="V143" s="130">
        <v>86683</v>
      </c>
      <c r="W143" s="128">
        <v>0</v>
      </c>
      <c r="X143" s="128">
        <v>3</v>
      </c>
      <c r="Y143" s="131" t="str">
        <f ca="1">IF(ISBLANK(BudgetsTable[[#This Row],[budg_seq_yr]]),"FY"&amp;fiscalyear,"FY"&amp;fiscalyear-1+BudgetsTable[[#This Row],[budg_seq_yr]])</f>
        <v>FY20</v>
      </c>
      <c r="Z143" s="129">
        <v>86683</v>
      </c>
      <c r="AA143" s="128" t="s">
        <v>741</v>
      </c>
      <c r="AB143" s="128" t="s">
        <v>901</v>
      </c>
      <c r="AC143" s="126" t="s">
        <v>94</v>
      </c>
      <c r="AD143" s="128" t="s">
        <v>2007</v>
      </c>
    </row>
    <row r="144" spans="1:30">
      <c r="A144" s="125" t="s">
        <v>2146</v>
      </c>
      <c r="B144" s="126" t="s">
        <v>1989</v>
      </c>
      <c r="C144" s="126">
        <f>C143+(BudgetsTable[[#This Row],[lead]]&lt;&gt;K143)</f>
        <v>31</v>
      </c>
      <c r="D144" s="126">
        <f>D143*(BudgetsTable[[#This Row],[lead]]=K143)+(BudgetsTable[[#This Row],[prop_id]]&lt;&gt;A143)</f>
        <v>3</v>
      </c>
      <c r="E144" s="127">
        <v>42809.475694444445</v>
      </c>
      <c r="F144" s="128" t="s">
        <v>1965</v>
      </c>
      <c r="G144" s="128" t="s">
        <v>741</v>
      </c>
      <c r="H144" s="128" t="s">
        <v>901</v>
      </c>
      <c r="I144" s="126" t="s">
        <v>540</v>
      </c>
      <c r="J144" s="126" t="s">
        <v>2150</v>
      </c>
      <c r="K144" s="128" t="s">
        <v>1175</v>
      </c>
      <c r="L144" s="7" t="str">
        <f>IF(BudgetsTable[[#This Row],[pi_last_name]]=" ","",HYPERLINK("https://www.ejacket.nsf.gov/ej/showProposal.do?Continue=Y&amp;ID="&amp;BudgetsTable[[#This Row],[prop_id]],BudgetsTable[[#This Row],[prop_id]]))</f>
        <v>1740743</v>
      </c>
      <c r="M144" s="15" t="str">
        <f>IF(BudgetsTable[[#This Row],[pi_last_name]]=" ","",HYPERLINK("https://www.ejacket.nsf.gov/ej/processReviewAnalysis.do?dispatch=add&amp;uniqId="&amp;BudgetsTable[[#This Row],[prop_id]]&amp;PO_id,"&gt;ra"))</f>
        <v>&gt;ra</v>
      </c>
      <c r="N144" s="128" t="s">
        <v>2147</v>
      </c>
      <c r="O144" s="7" t="str">
        <f>IF(BudgetsTable[[#This Row],[pi_last_name]]=" ","",HYPERLINK("mailto:"&amp;BudgetsTable[[#This Row],[pi_email]]&amp;"&amp;subject=Your NSF Proposal:  "&amp;BudgetsTable[[#This Row],[prop_id]],BudgetsTable[[#This Row],[pi_email]]))</f>
        <v>ibichind@oswego.edu</v>
      </c>
      <c r="P144" s="128" t="s">
        <v>2149</v>
      </c>
      <c r="Q144" s="128"/>
      <c r="R144" s="128"/>
      <c r="S144" s="129"/>
      <c r="T144" s="129"/>
      <c r="U144" s="129"/>
      <c r="V144" s="130"/>
      <c r="W144" s="128">
        <v>0</v>
      </c>
      <c r="X144" s="128"/>
      <c r="Y144" s="131" t="str">
        <f ca="1">IF(ISBLANK(BudgetsTable[[#This Row],[budg_seq_yr]]),"FY"&amp;fiscalyear,"FY"&amp;fiscalyear-1+BudgetsTable[[#This Row],[budg_seq_yr]])</f>
        <v>FY18</v>
      </c>
      <c r="Z144" s="129">
        <v>361729</v>
      </c>
      <c r="AA144" s="128" t="s">
        <v>741</v>
      </c>
      <c r="AB144" s="128" t="s">
        <v>901</v>
      </c>
      <c r="AC144" s="126" t="s">
        <v>94</v>
      </c>
      <c r="AD144" s="128" t="s">
        <v>2007</v>
      </c>
    </row>
    <row r="145" spans="1:30">
      <c r="A145" s="125" t="s">
        <v>2146</v>
      </c>
      <c r="B145" s="126" t="s">
        <v>1989</v>
      </c>
      <c r="C145" s="126">
        <f>C144+(BudgetsTable[[#This Row],[lead]]&lt;&gt;K144)</f>
        <v>31</v>
      </c>
      <c r="D145" s="126">
        <f>D144*(BudgetsTable[[#This Row],[lead]]=K144)+(BudgetsTable[[#This Row],[prop_id]]&lt;&gt;A144)</f>
        <v>3</v>
      </c>
      <c r="E145" s="127">
        <v>42809.475694444445</v>
      </c>
      <c r="F145" s="128" t="s">
        <v>1965</v>
      </c>
      <c r="G145" s="128" t="s">
        <v>741</v>
      </c>
      <c r="H145" s="128" t="s">
        <v>901</v>
      </c>
      <c r="I145" s="126" t="s">
        <v>540</v>
      </c>
      <c r="J145" s="126" t="s">
        <v>13</v>
      </c>
      <c r="K145" s="128" t="s">
        <v>1175</v>
      </c>
      <c r="L145" s="7" t="str">
        <f>IF(BudgetsTable[[#This Row],[pi_last_name]]=" ","",HYPERLINK("https://www.ejacket.nsf.gov/ej/showProposal.do?Continue=Y&amp;ID="&amp;BudgetsTable[[#This Row],[prop_id]],BudgetsTable[[#This Row],[prop_id]]))</f>
        <v/>
      </c>
      <c r="M145" s="15" t="str">
        <f>IF(BudgetsTable[[#This Row],[pi_last_name]]=" ","",HYPERLINK("https://www.ejacket.nsf.gov/ej/processReviewAnalysis.do?dispatch=add&amp;uniqId="&amp;BudgetsTable[[#This Row],[prop_id]]&amp;PO_id,"&gt;ra"))</f>
        <v/>
      </c>
      <c r="N145" s="128" t="s">
        <v>13</v>
      </c>
      <c r="O145" s="7" t="str">
        <f>IF(BudgetsTable[[#This Row],[pi_last_name]]=" ","",HYPERLINK("mailto:"&amp;BudgetsTable[[#This Row],[pi_email]]&amp;"&amp;subject=Your NSF Proposal:  "&amp;BudgetsTable[[#This Row],[prop_id]],BudgetsTable[[#This Row],[pi_email]]))</f>
        <v/>
      </c>
      <c r="P145" s="128" t="s">
        <v>13</v>
      </c>
      <c r="Q145" s="128">
        <v>3</v>
      </c>
      <c r="R145" s="128">
        <v>1.71</v>
      </c>
      <c r="S145" s="129">
        <v>0</v>
      </c>
      <c r="T145" s="129">
        <v>6000</v>
      </c>
      <c r="U145" s="129">
        <v>0</v>
      </c>
      <c r="V145" s="130">
        <v>107056</v>
      </c>
      <c r="W145" s="128">
        <v>0</v>
      </c>
      <c r="X145" s="128">
        <v>1</v>
      </c>
      <c r="Y145" s="131" t="str">
        <f ca="1">IF(ISBLANK(BudgetsTable[[#This Row],[budg_seq_yr]]),"FY"&amp;fiscalyear,"FY"&amp;fiscalyear-1+BudgetsTable[[#This Row],[budg_seq_yr]])</f>
        <v>FY18</v>
      </c>
      <c r="Z145" s="129">
        <v>107056</v>
      </c>
      <c r="AA145" s="128" t="s">
        <v>741</v>
      </c>
      <c r="AB145" s="128" t="s">
        <v>901</v>
      </c>
      <c r="AC145" s="126" t="s">
        <v>94</v>
      </c>
      <c r="AD145" s="128" t="s">
        <v>2007</v>
      </c>
    </row>
    <row r="146" spans="1:30">
      <c r="A146" s="125" t="s">
        <v>2146</v>
      </c>
      <c r="B146" s="126" t="s">
        <v>1989</v>
      </c>
      <c r="C146" s="126">
        <f>C145+(BudgetsTable[[#This Row],[lead]]&lt;&gt;K145)</f>
        <v>31</v>
      </c>
      <c r="D146" s="126">
        <f>D145*(BudgetsTable[[#This Row],[lead]]=K145)+(BudgetsTable[[#This Row],[prop_id]]&lt;&gt;A145)</f>
        <v>3</v>
      </c>
      <c r="E146" s="127">
        <v>42809.475694444445</v>
      </c>
      <c r="F146" s="128" t="s">
        <v>1965</v>
      </c>
      <c r="G146" s="128" t="s">
        <v>741</v>
      </c>
      <c r="H146" s="128" t="s">
        <v>901</v>
      </c>
      <c r="I146" s="126" t="s">
        <v>540</v>
      </c>
      <c r="J146" s="126" t="s">
        <v>13</v>
      </c>
      <c r="K146" s="128" t="s">
        <v>1175</v>
      </c>
      <c r="L146" s="7" t="str">
        <f>IF(BudgetsTable[[#This Row],[pi_last_name]]=" ","",HYPERLINK("https://www.ejacket.nsf.gov/ej/showProposal.do?Continue=Y&amp;ID="&amp;BudgetsTable[[#This Row],[prop_id]],BudgetsTable[[#This Row],[prop_id]]))</f>
        <v/>
      </c>
      <c r="M146" s="15" t="str">
        <f>IF(BudgetsTable[[#This Row],[pi_last_name]]=" ","",HYPERLINK("https://www.ejacket.nsf.gov/ej/processReviewAnalysis.do?dispatch=add&amp;uniqId="&amp;BudgetsTable[[#This Row],[prop_id]]&amp;PO_id,"&gt;ra"))</f>
        <v/>
      </c>
      <c r="N146" s="128" t="s">
        <v>13</v>
      </c>
      <c r="O146" s="7" t="str">
        <f>IF(BudgetsTable[[#This Row],[pi_last_name]]=" ","",HYPERLINK("mailto:"&amp;BudgetsTable[[#This Row],[pi_email]]&amp;"&amp;subject=Your NSF Proposal:  "&amp;BudgetsTable[[#This Row],[prop_id]],BudgetsTable[[#This Row],[pi_email]]))</f>
        <v/>
      </c>
      <c r="P146" s="128" t="s">
        <v>13</v>
      </c>
      <c r="Q146" s="128">
        <v>3</v>
      </c>
      <c r="R146" s="128">
        <v>1.71</v>
      </c>
      <c r="S146" s="129">
        <v>0</v>
      </c>
      <c r="T146" s="129">
        <v>6000</v>
      </c>
      <c r="U146" s="129">
        <v>0</v>
      </c>
      <c r="V146" s="130">
        <v>145771</v>
      </c>
      <c r="W146" s="128">
        <v>0</v>
      </c>
      <c r="X146" s="128">
        <v>2</v>
      </c>
      <c r="Y146" s="131" t="str">
        <f ca="1">IF(ISBLANK(BudgetsTable[[#This Row],[budg_seq_yr]]),"FY"&amp;fiscalyear,"FY"&amp;fiscalyear-1+BudgetsTable[[#This Row],[budg_seq_yr]])</f>
        <v>FY19</v>
      </c>
      <c r="Z146" s="129">
        <v>145771</v>
      </c>
      <c r="AA146" s="128" t="s">
        <v>741</v>
      </c>
      <c r="AB146" s="128" t="s">
        <v>901</v>
      </c>
      <c r="AC146" s="126" t="s">
        <v>94</v>
      </c>
      <c r="AD146" s="128" t="s">
        <v>2007</v>
      </c>
    </row>
    <row r="147" spans="1:30">
      <c r="A147" s="125" t="s">
        <v>2146</v>
      </c>
      <c r="B147" s="126" t="s">
        <v>1989</v>
      </c>
      <c r="C147" s="126">
        <f>C146+(BudgetsTable[[#This Row],[lead]]&lt;&gt;K146)</f>
        <v>31</v>
      </c>
      <c r="D147" s="126">
        <f>D146*(BudgetsTable[[#This Row],[lead]]=K146)+(BudgetsTable[[#This Row],[prop_id]]&lt;&gt;A146)</f>
        <v>3</v>
      </c>
      <c r="E147" s="127">
        <v>42809.475694444445</v>
      </c>
      <c r="F147" s="128" t="s">
        <v>1965</v>
      </c>
      <c r="G147" s="128" t="s">
        <v>741</v>
      </c>
      <c r="H147" s="128" t="s">
        <v>901</v>
      </c>
      <c r="I147" s="126" t="s">
        <v>540</v>
      </c>
      <c r="J147" s="126" t="s">
        <v>13</v>
      </c>
      <c r="K147" s="128" t="s">
        <v>1175</v>
      </c>
      <c r="L147" s="7" t="str">
        <f>IF(BudgetsTable[[#This Row],[pi_last_name]]=" ","",HYPERLINK("https://www.ejacket.nsf.gov/ej/showProposal.do?Continue=Y&amp;ID="&amp;BudgetsTable[[#This Row],[prop_id]],BudgetsTable[[#This Row],[prop_id]]))</f>
        <v/>
      </c>
      <c r="M147" s="15" t="str">
        <f>IF(BudgetsTable[[#This Row],[pi_last_name]]=" ","",HYPERLINK("https://www.ejacket.nsf.gov/ej/processReviewAnalysis.do?dispatch=add&amp;uniqId="&amp;BudgetsTable[[#This Row],[prop_id]]&amp;PO_id,"&gt;ra"))</f>
        <v/>
      </c>
      <c r="N147" s="128" t="s">
        <v>13</v>
      </c>
      <c r="O147" s="7" t="str">
        <f>IF(BudgetsTable[[#This Row],[pi_last_name]]=" ","",HYPERLINK("mailto:"&amp;BudgetsTable[[#This Row],[pi_email]]&amp;"&amp;subject=Your NSF Proposal:  "&amp;BudgetsTable[[#This Row],[prop_id]],BudgetsTable[[#This Row],[pi_email]]))</f>
        <v/>
      </c>
      <c r="P147" s="128" t="s">
        <v>13</v>
      </c>
      <c r="Q147" s="128">
        <v>3</v>
      </c>
      <c r="R147" s="128">
        <v>1.71</v>
      </c>
      <c r="S147" s="129">
        <v>0</v>
      </c>
      <c r="T147" s="129">
        <v>6000</v>
      </c>
      <c r="U147" s="129">
        <v>0</v>
      </c>
      <c r="V147" s="130">
        <v>108902</v>
      </c>
      <c r="W147" s="128">
        <v>0</v>
      </c>
      <c r="X147" s="128">
        <v>3</v>
      </c>
      <c r="Y147" s="131" t="str">
        <f ca="1">IF(ISBLANK(BudgetsTable[[#This Row],[budg_seq_yr]]),"FY"&amp;fiscalyear,"FY"&amp;fiscalyear-1+BudgetsTable[[#This Row],[budg_seq_yr]])</f>
        <v>FY20</v>
      </c>
      <c r="Z147" s="129">
        <v>108902</v>
      </c>
      <c r="AA147" s="128" t="s">
        <v>741</v>
      </c>
      <c r="AB147" s="128" t="s">
        <v>901</v>
      </c>
      <c r="AC147" s="126" t="s">
        <v>94</v>
      </c>
      <c r="AD147" s="128" t="s">
        <v>2007</v>
      </c>
    </row>
    <row r="148" spans="1:30">
      <c r="A148" s="125" t="s">
        <v>2151</v>
      </c>
      <c r="B148" s="126" t="s">
        <v>1989</v>
      </c>
      <c r="C148" s="126">
        <f>C147+(BudgetsTable[[#This Row],[lead]]&lt;&gt;K147)</f>
        <v>31</v>
      </c>
      <c r="D148" s="126">
        <f>D147*(BudgetsTable[[#This Row],[lead]]=K147)+(BudgetsTable[[#This Row],[prop_id]]&lt;&gt;A147)</f>
        <v>4</v>
      </c>
      <c r="E148" s="127">
        <v>42809.482638888891</v>
      </c>
      <c r="F148" s="128" t="s">
        <v>1965</v>
      </c>
      <c r="G148" s="128" t="s">
        <v>741</v>
      </c>
      <c r="H148" s="128" t="s">
        <v>901</v>
      </c>
      <c r="I148" s="126" t="s">
        <v>540</v>
      </c>
      <c r="J148" s="126" t="s">
        <v>2156</v>
      </c>
      <c r="K148" s="128" t="s">
        <v>1175</v>
      </c>
      <c r="L148" s="7" t="str">
        <f>IF(BudgetsTable[[#This Row],[pi_last_name]]=" ","",HYPERLINK("https://www.ejacket.nsf.gov/ej/showProposal.do?Continue=Y&amp;ID="&amp;BudgetsTable[[#This Row],[prop_id]],BudgetsTable[[#This Row],[prop_id]]))</f>
        <v>1740745</v>
      </c>
      <c r="M148" s="15" t="str">
        <f>IF(BudgetsTable[[#This Row],[pi_last_name]]=" ","",HYPERLINK("https://www.ejacket.nsf.gov/ej/processReviewAnalysis.do?dispatch=add&amp;uniqId="&amp;BudgetsTable[[#This Row],[prop_id]]&amp;PO_id,"&gt;ra"))</f>
        <v>&gt;ra</v>
      </c>
      <c r="N148" s="128" t="s">
        <v>2152</v>
      </c>
      <c r="O148" s="7" t="str">
        <f>IF(BudgetsTable[[#This Row],[pi_last_name]]=" ","",HYPERLINK("mailto:"&amp;BudgetsTable[[#This Row],[pi_email]]&amp;"&amp;subject=Your NSF Proposal:  "&amp;BudgetsTable[[#This Row],[prop_id]],BudgetsTable[[#This Row],[pi_email]]))</f>
        <v>lisa.walters@fredonia.edu</v>
      </c>
      <c r="P148" s="128" t="s">
        <v>2154</v>
      </c>
      <c r="Q148" s="128"/>
      <c r="R148" s="128"/>
      <c r="S148" s="129"/>
      <c r="T148" s="129"/>
      <c r="U148" s="129"/>
      <c r="V148" s="130"/>
      <c r="W148" s="128">
        <v>0</v>
      </c>
      <c r="X148" s="128"/>
      <c r="Y148" s="131" t="str">
        <f ca="1">IF(ISBLANK(BudgetsTable[[#This Row],[budg_seq_yr]]),"FY"&amp;fiscalyear,"FY"&amp;fiscalyear-1+BudgetsTable[[#This Row],[budg_seq_yr]])</f>
        <v>FY18</v>
      </c>
      <c r="Z148" s="129">
        <v>248472</v>
      </c>
      <c r="AA148" s="128" t="s">
        <v>741</v>
      </c>
      <c r="AB148" s="128" t="s">
        <v>901</v>
      </c>
      <c r="AC148" s="126" t="s">
        <v>94</v>
      </c>
      <c r="AD148" s="128" t="s">
        <v>1968</v>
      </c>
    </row>
    <row r="149" spans="1:30">
      <c r="A149" s="125" t="s">
        <v>2151</v>
      </c>
      <c r="B149" s="126" t="s">
        <v>1989</v>
      </c>
      <c r="C149" s="126">
        <f>C148+(BudgetsTable[[#This Row],[lead]]&lt;&gt;K148)</f>
        <v>31</v>
      </c>
      <c r="D149" s="126">
        <f>D148*(BudgetsTable[[#This Row],[lead]]=K148)+(BudgetsTable[[#This Row],[prop_id]]&lt;&gt;A148)</f>
        <v>4</v>
      </c>
      <c r="E149" s="127">
        <v>42809.482638888891</v>
      </c>
      <c r="F149" s="128" t="s">
        <v>1965</v>
      </c>
      <c r="G149" s="128" t="s">
        <v>741</v>
      </c>
      <c r="H149" s="128" t="s">
        <v>901</v>
      </c>
      <c r="I149" s="126" t="s">
        <v>540</v>
      </c>
      <c r="J149" s="126" t="s">
        <v>13</v>
      </c>
      <c r="K149" s="128" t="s">
        <v>1175</v>
      </c>
      <c r="L149" s="7" t="str">
        <f>IF(BudgetsTable[[#This Row],[pi_last_name]]=" ","",HYPERLINK("https://www.ejacket.nsf.gov/ej/showProposal.do?Continue=Y&amp;ID="&amp;BudgetsTable[[#This Row],[prop_id]],BudgetsTable[[#This Row],[prop_id]]))</f>
        <v/>
      </c>
      <c r="M149" s="15" t="str">
        <f>IF(BudgetsTable[[#This Row],[pi_last_name]]=" ","",HYPERLINK("https://www.ejacket.nsf.gov/ej/processReviewAnalysis.do?dispatch=add&amp;uniqId="&amp;BudgetsTable[[#This Row],[prop_id]]&amp;PO_id,"&gt;ra"))</f>
        <v/>
      </c>
      <c r="N149" s="128" t="s">
        <v>13</v>
      </c>
      <c r="O149" s="7" t="str">
        <f>IF(BudgetsTable[[#This Row],[pi_last_name]]=" ","",HYPERLINK("mailto:"&amp;BudgetsTable[[#This Row],[pi_email]]&amp;"&amp;subject=Your NSF Proposal:  "&amp;BudgetsTable[[#This Row],[prop_id]],BudgetsTable[[#This Row],[pi_email]]))</f>
        <v/>
      </c>
      <c r="P149" s="128" t="s">
        <v>13</v>
      </c>
      <c r="Q149" s="128">
        <v>2</v>
      </c>
      <c r="R149" s="128">
        <v>2</v>
      </c>
      <c r="S149" s="129">
        <v>0</v>
      </c>
      <c r="T149" s="129">
        <v>3500</v>
      </c>
      <c r="U149" s="129">
        <v>10000</v>
      </c>
      <c r="V149" s="130">
        <v>81442</v>
      </c>
      <c r="W149" s="128">
        <v>0</v>
      </c>
      <c r="X149" s="128">
        <v>1</v>
      </c>
      <c r="Y149" s="131" t="str">
        <f ca="1">IF(ISBLANK(BudgetsTable[[#This Row],[budg_seq_yr]]),"FY"&amp;fiscalyear,"FY"&amp;fiscalyear-1+BudgetsTable[[#This Row],[budg_seq_yr]])</f>
        <v>FY18</v>
      </c>
      <c r="Z149" s="129">
        <v>81442</v>
      </c>
      <c r="AA149" s="128" t="s">
        <v>741</v>
      </c>
      <c r="AB149" s="128" t="s">
        <v>901</v>
      </c>
      <c r="AC149" s="126" t="s">
        <v>94</v>
      </c>
      <c r="AD149" s="128" t="s">
        <v>1968</v>
      </c>
    </row>
    <row r="150" spans="1:30">
      <c r="A150" s="125" t="s">
        <v>2151</v>
      </c>
      <c r="B150" s="126" t="s">
        <v>1989</v>
      </c>
      <c r="C150" s="126">
        <f>C149+(BudgetsTable[[#This Row],[lead]]&lt;&gt;K149)</f>
        <v>31</v>
      </c>
      <c r="D150" s="126">
        <f>D149*(BudgetsTable[[#This Row],[lead]]=K149)+(BudgetsTable[[#This Row],[prop_id]]&lt;&gt;A149)</f>
        <v>4</v>
      </c>
      <c r="E150" s="127">
        <v>42809.482638888891</v>
      </c>
      <c r="F150" s="128" t="s">
        <v>1965</v>
      </c>
      <c r="G150" s="128" t="s">
        <v>741</v>
      </c>
      <c r="H150" s="128" t="s">
        <v>901</v>
      </c>
      <c r="I150" s="126" t="s">
        <v>540</v>
      </c>
      <c r="J150" s="126" t="s">
        <v>13</v>
      </c>
      <c r="K150" s="128" t="s">
        <v>1175</v>
      </c>
      <c r="L150" s="7" t="str">
        <f>IF(BudgetsTable[[#This Row],[pi_last_name]]=" ","",HYPERLINK("https://www.ejacket.nsf.gov/ej/showProposal.do?Continue=Y&amp;ID="&amp;BudgetsTable[[#This Row],[prop_id]],BudgetsTable[[#This Row],[prop_id]]))</f>
        <v/>
      </c>
      <c r="M150" s="15" t="str">
        <f>IF(BudgetsTable[[#This Row],[pi_last_name]]=" ","",HYPERLINK("https://www.ejacket.nsf.gov/ej/processReviewAnalysis.do?dispatch=add&amp;uniqId="&amp;BudgetsTable[[#This Row],[prop_id]]&amp;PO_id,"&gt;ra"))</f>
        <v/>
      </c>
      <c r="N150" s="128" t="s">
        <v>13</v>
      </c>
      <c r="O150" s="7" t="str">
        <f>IF(BudgetsTable[[#This Row],[pi_last_name]]=" ","",HYPERLINK("mailto:"&amp;BudgetsTable[[#This Row],[pi_email]]&amp;"&amp;subject=Your NSF Proposal:  "&amp;BudgetsTable[[#This Row],[prop_id]],BudgetsTable[[#This Row],[pi_email]]))</f>
        <v/>
      </c>
      <c r="P150" s="128" t="s">
        <v>13</v>
      </c>
      <c r="Q150" s="128">
        <v>2</v>
      </c>
      <c r="R150" s="128">
        <v>2</v>
      </c>
      <c r="S150" s="129">
        <v>0</v>
      </c>
      <c r="T150" s="129">
        <v>3500</v>
      </c>
      <c r="U150" s="129">
        <v>10000</v>
      </c>
      <c r="V150" s="130">
        <v>82939</v>
      </c>
      <c r="W150" s="128">
        <v>0</v>
      </c>
      <c r="X150" s="128">
        <v>2</v>
      </c>
      <c r="Y150" s="131" t="str">
        <f ca="1">IF(ISBLANK(BudgetsTable[[#This Row],[budg_seq_yr]]),"FY"&amp;fiscalyear,"FY"&amp;fiscalyear-1+BudgetsTable[[#This Row],[budg_seq_yr]])</f>
        <v>FY19</v>
      </c>
      <c r="Z150" s="129">
        <v>82939</v>
      </c>
      <c r="AA150" s="128" t="s">
        <v>741</v>
      </c>
      <c r="AB150" s="128" t="s">
        <v>901</v>
      </c>
      <c r="AC150" s="126" t="s">
        <v>94</v>
      </c>
      <c r="AD150" s="128" t="s">
        <v>1968</v>
      </c>
    </row>
    <row r="151" spans="1:30">
      <c r="A151" s="125" t="s">
        <v>2151</v>
      </c>
      <c r="B151" s="126" t="s">
        <v>1989</v>
      </c>
      <c r="C151" s="126">
        <f>C150+(BudgetsTable[[#This Row],[lead]]&lt;&gt;K150)</f>
        <v>31</v>
      </c>
      <c r="D151" s="126">
        <f>D150*(BudgetsTable[[#This Row],[lead]]=K150)+(BudgetsTable[[#This Row],[prop_id]]&lt;&gt;A150)</f>
        <v>4</v>
      </c>
      <c r="E151" s="127">
        <v>42809.482638888891</v>
      </c>
      <c r="F151" s="128" t="s">
        <v>1965</v>
      </c>
      <c r="G151" s="128" t="s">
        <v>741</v>
      </c>
      <c r="H151" s="128" t="s">
        <v>901</v>
      </c>
      <c r="I151" s="126" t="s">
        <v>540</v>
      </c>
      <c r="J151" s="126" t="s">
        <v>13</v>
      </c>
      <c r="K151" s="128" t="s">
        <v>1175</v>
      </c>
      <c r="L151" s="7" t="str">
        <f>IF(BudgetsTable[[#This Row],[pi_last_name]]=" ","",HYPERLINK("https://www.ejacket.nsf.gov/ej/showProposal.do?Continue=Y&amp;ID="&amp;BudgetsTable[[#This Row],[prop_id]],BudgetsTable[[#This Row],[prop_id]]))</f>
        <v/>
      </c>
      <c r="M151" s="15" t="str">
        <f>IF(BudgetsTable[[#This Row],[pi_last_name]]=" ","",HYPERLINK("https://www.ejacket.nsf.gov/ej/processReviewAnalysis.do?dispatch=add&amp;uniqId="&amp;BudgetsTable[[#This Row],[prop_id]]&amp;PO_id,"&gt;ra"))</f>
        <v/>
      </c>
      <c r="N151" s="128" t="s">
        <v>13</v>
      </c>
      <c r="O151" s="7" t="str">
        <f>IF(BudgetsTable[[#This Row],[pi_last_name]]=" ","",HYPERLINK("mailto:"&amp;BudgetsTable[[#This Row],[pi_email]]&amp;"&amp;subject=Your NSF Proposal:  "&amp;BudgetsTable[[#This Row],[prop_id]],BudgetsTable[[#This Row],[pi_email]]))</f>
        <v/>
      </c>
      <c r="P151" s="128" t="s">
        <v>13</v>
      </c>
      <c r="Q151" s="128">
        <v>2</v>
      </c>
      <c r="R151" s="128">
        <v>2</v>
      </c>
      <c r="S151" s="129">
        <v>0</v>
      </c>
      <c r="T151" s="129">
        <v>3500</v>
      </c>
      <c r="U151" s="129">
        <v>0</v>
      </c>
      <c r="V151" s="130">
        <v>84091</v>
      </c>
      <c r="W151" s="128">
        <v>0</v>
      </c>
      <c r="X151" s="128">
        <v>3</v>
      </c>
      <c r="Y151" s="131" t="str">
        <f ca="1">IF(ISBLANK(BudgetsTable[[#This Row],[budg_seq_yr]]),"FY"&amp;fiscalyear,"FY"&amp;fiscalyear-1+BudgetsTable[[#This Row],[budg_seq_yr]])</f>
        <v>FY20</v>
      </c>
      <c r="Z151" s="129">
        <v>84091</v>
      </c>
      <c r="AA151" s="128" t="s">
        <v>741</v>
      </c>
      <c r="AB151" s="128" t="s">
        <v>901</v>
      </c>
      <c r="AC151" s="126" t="s">
        <v>94</v>
      </c>
      <c r="AD151" s="128" t="s">
        <v>1968</v>
      </c>
    </row>
    <row r="152" spans="1:30">
      <c r="A152" s="125" t="s">
        <v>2157</v>
      </c>
      <c r="B152" s="126" t="s">
        <v>1989</v>
      </c>
      <c r="C152" s="126">
        <f>C151+(BudgetsTable[[#This Row],[lead]]&lt;&gt;K151)</f>
        <v>31</v>
      </c>
      <c r="D152" s="126">
        <f>D151*(BudgetsTable[[#This Row],[lead]]=K151)+(BudgetsTable[[#This Row],[prop_id]]&lt;&gt;A151)</f>
        <v>5</v>
      </c>
      <c r="E152" s="127">
        <v>42809.584722222222</v>
      </c>
      <c r="F152" s="128" t="s">
        <v>1965</v>
      </c>
      <c r="G152" s="128" t="s">
        <v>741</v>
      </c>
      <c r="H152" s="128" t="s">
        <v>901</v>
      </c>
      <c r="I152" s="126" t="s">
        <v>540</v>
      </c>
      <c r="J152" s="126" t="s">
        <v>2161</v>
      </c>
      <c r="K152" s="128" t="s">
        <v>1175</v>
      </c>
      <c r="L152" s="7" t="str">
        <f>IF(BudgetsTable[[#This Row],[pi_last_name]]=" ","",HYPERLINK("https://www.ejacket.nsf.gov/ej/showProposal.do?Continue=Y&amp;ID="&amp;BudgetsTable[[#This Row],[prop_id]],BudgetsTable[[#This Row],[prop_id]]))</f>
        <v>1740774</v>
      </c>
      <c r="M152" s="15" t="str">
        <f>IF(BudgetsTable[[#This Row],[pi_last_name]]=" ","",HYPERLINK("https://www.ejacket.nsf.gov/ej/processReviewAnalysis.do?dispatch=add&amp;uniqId="&amp;BudgetsTable[[#This Row],[prop_id]]&amp;PO_id,"&gt;ra"))</f>
        <v>&gt;ra</v>
      </c>
      <c r="N152" s="128" t="s">
        <v>2158</v>
      </c>
      <c r="O152" s="7" t="str">
        <f>IF(BudgetsTable[[#This Row],[pi_last_name]]=" ","",HYPERLINK("mailto:"&amp;BudgetsTable[[#This Row],[pi_email]]&amp;"&amp;subject=Your NSF Proposal:  "&amp;BudgetsTable[[#This Row],[prop_id]],BudgetsTable[[#This Row],[pi_email]]))</f>
        <v>sdang@binghamton.edu</v>
      </c>
      <c r="P152" s="128" t="s">
        <v>2160</v>
      </c>
      <c r="Q152" s="128"/>
      <c r="R152" s="128"/>
      <c r="S152" s="129"/>
      <c r="T152" s="129"/>
      <c r="U152" s="129"/>
      <c r="V152" s="130"/>
      <c r="W152" s="128">
        <v>0</v>
      </c>
      <c r="X152" s="128"/>
      <c r="Y152" s="131" t="str">
        <f ca="1">IF(ISBLANK(BudgetsTable[[#This Row],[budg_seq_yr]]),"FY"&amp;fiscalyear,"FY"&amp;fiscalyear-1+BudgetsTable[[#This Row],[budg_seq_yr]])</f>
        <v>FY18</v>
      </c>
      <c r="Z152" s="129">
        <v>393365</v>
      </c>
      <c r="AA152" s="128" t="s">
        <v>741</v>
      </c>
      <c r="AB152" s="128" t="s">
        <v>901</v>
      </c>
      <c r="AC152" s="126" t="s">
        <v>94</v>
      </c>
      <c r="AD152" s="128" t="s">
        <v>1968</v>
      </c>
    </row>
    <row r="153" spans="1:30">
      <c r="A153" s="125" t="s">
        <v>2157</v>
      </c>
      <c r="B153" s="126" t="s">
        <v>1989</v>
      </c>
      <c r="C153" s="126">
        <f>C152+(BudgetsTable[[#This Row],[lead]]&lt;&gt;K152)</f>
        <v>31</v>
      </c>
      <c r="D153" s="126">
        <f>D152*(BudgetsTable[[#This Row],[lead]]=K152)+(BudgetsTable[[#This Row],[prop_id]]&lt;&gt;A152)</f>
        <v>5</v>
      </c>
      <c r="E153" s="127">
        <v>42809.584722222222</v>
      </c>
      <c r="F153" s="128" t="s">
        <v>1965</v>
      </c>
      <c r="G153" s="128" t="s">
        <v>741</v>
      </c>
      <c r="H153" s="128" t="s">
        <v>901</v>
      </c>
      <c r="I153" s="126" t="s">
        <v>540</v>
      </c>
      <c r="J153" s="126" t="s">
        <v>13</v>
      </c>
      <c r="K153" s="128" t="s">
        <v>1175</v>
      </c>
      <c r="L153" s="7" t="str">
        <f>IF(BudgetsTable[[#This Row],[pi_last_name]]=" ","",HYPERLINK("https://www.ejacket.nsf.gov/ej/showProposal.do?Continue=Y&amp;ID="&amp;BudgetsTable[[#This Row],[prop_id]],BudgetsTable[[#This Row],[prop_id]]))</f>
        <v/>
      </c>
      <c r="M153" s="15" t="str">
        <f>IF(BudgetsTable[[#This Row],[pi_last_name]]=" ","",HYPERLINK("https://www.ejacket.nsf.gov/ej/processReviewAnalysis.do?dispatch=add&amp;uniqId="&amp;BudgetsTable[[#This Row],[prop_id]]&amp;PO_id,"&gt;ra"))</f>
        <v/>
      </c>
      <c r="N153" s="128" t="s">
        <v>13</v>
      </c>
      <c r="O153" s="7" t="str">
        <f>IF(BudgetsTable[[#This Row],[pi_last_name]]=" ","",HYPERLINK("mailto:"&amp;BudgetsTable[[#This Row],[pi_email]]&amp;"&amp;subject=Your NSF Proposal:  "&amp;BudgetsTable[[#This Row],[prop_id]],BudgetsTable[[#This Row],[pi_email]]))</f>
        <v/>
      </c>
      <c r="P153" s="128" t="s">
        <v>13</v>
      </c>
      <c r="Q153" s="128">
        <v>3</v>
      </c>
      <c r="R153" s="128">
        <v>3</v>
      </c>
      <c r="S153" s="129">
        <v>0</v>
      </c>
      <c r="T153" s="129">
        <v>0</v>
      </c>
      <c r="U153" s="129">
        <v>0</v>
      </c>
      <c r="V153" s="130">
        <v>132714</v>
      </c>
      <c r="W153" s="128">
        <v>0</v>
      </c>
      <c r="X153" s="128">
        <v>1</v>
      </c>
      <c r="Y153" s="131" t="str">
        <f ca="1">IF(ISBLANK(BudgetsTable[[#This Row],[budg_seq_yr]]),"FY"&amp;fiscalyear,"FY"&amp;fiscalyear-1+BudgetsTable[[#This Row],[budg_seq_yr]])</f>
        <v>FY18</v>
      </c>
      <c r="Z153" s="129">
        <v>132714</v>
      </c>
      <c r="AA153" s="128" t="s">
        <v>741</v>
      </c>
      <c r="AB153" s="128" t="s">
        <v>901</v>
      </c>
      <c r="AC153" s="126" t="s">
        <v>94</v>
      </c>
      <c r="AD153" s="128" t="s">
        <v>1968</v>
      </c>
    </row>
    <row r="154" spans="1:30">
      <c r="A154" s="125" t="s">
        <v>2157</v>
      </c>
      <c r="B154" s="126" t="s">
        <v>1989</v>
      </c>
      <c r="C154" s="126">
        <f>C153+(BudgetsTable[[#This Row],[lead]]&lt;&gt;K153)</f>
        <v>31</v>
      </c>
      <c r="D154" s="126">
        <f>D153*(BudgetsTable[[#This Row],[lead]]=K153)+(BudgetsTable[[#This Row],[prop_id]]&lt;&gt;A153)</f>
        <v>5</v>
      </c>
      <c r="E154" s="127">
        <v>42809.584722222222</v>
      </c>
      <c r="F154" s="128" t="s">
        <v>1965</v>
      </c>
      <c r="G154" s="128" t="s">
        <v>741</v>
      </c>
      <c r="H154" s="128" t="s">
        <v>901</v>
      </c>
      <c r="I154" s="126" t="s">
        <v>540</v>
      </c>
      <c r="J154" s="126" t="s">
        <v>13</v>
      </c>
      <c r="K154" s="128" t="s">
        <v>1175</v>
      </c>
      <c r="L154" s="7" t="str">
        <f>IF(BudgetsTable[[#This Row],[pi_last_name]]=" ","",HYPERLINK("https://www.ejacket.nsf.gov/ej/showProposal.do?Continue=Y&amp;ID="&amp;BudgetsTable[[#This Row],[prop_id]],BudgetsTable[[#This Row],[prop_id]]))</f>
        <v/>
      </c>
      <c r="M154" s="15" t="str">
        <f>IF(BudgetsTable[[#This Row],[pi_last_name]]=" ","",HYPERLINK("https://www.ejacket.nsf.gov/ej/processReviewAnalysis.do?dispatch=add&amp;uniqId="&amp;BudgetsTable[[#This Row],[prop_id]]&amp;PO_id,"&gt;ra"))</f>
        <v/>
      </c>
      <c r="N154" s="128" t="s">
        <v>13</v>
      </c>
      <c r="O154" s="7" t="str">
        <f>IF(BudgetsTable[[#This Row],[pi_last_name]]=" ","",HYPERLINK("mailto:"&amp;BudgetsTable[[#This Row],[pi_email]]&amp;"&amp;subject=Your NSF Proposal:  "&amp;BudgetsTable[[#This Row],[prop_id]],BudgetsTable[[#This Row],[pi_email]]))</f>
        <v/>
      </c>
      <c r="P154" s="128" t="s">
        <v>13</v>
      </c>
      <c r="Q154" s="128">
        <v>3</v>
      </c>
      <c r="R154" s="128">
        <v>3</v>
      </c>
      <c r="S154" s="129">
        <v>0</v>
      </c>
      <c r="T154" s="129">
        <v>0</v>
      </c>
      <c r="U154" s="129">
        <v>0</v>
      </c>
      <c r="V154" s="130">
        <v>136997</v>
      </c>
      <c r="W154" s="128">
        <v>0</v>
      </c>
      <c r="X154" s="128">
        <v>2</v>
      </c>
      <c r="Y154" s="131" t="str">
        <f ca="1">IF(ISBLANK(BudgetsTable[[#This Row],[budg_seq_yr]]),"FY"&amp;fiscalyear,"FY"&amp;fiscalyear-1+BudgetsTable[[#This Row],[budg_seq_yr]])</f>
        <v>FY19</v>
      </c>
      <c r="Z154" s="129">
        <v>136997</v>
      </c>
      <c r="AA154" s="128" t="s">
        <v>741</v>
      </c>
      <c r="AB154" s="128" t="s">
        <v>901</v>
      </c>
      <c r="AC154" s="126" t="s">
        <v>94</v>
      </c>
      <c r="AD154" s="128" t="s">
        <v>1968</v>
      </c>
    </row>
    <row r="155" spans="1:30">
      <c r="A155" s="125" t="s">
        <v>2157</v>
      </c>
      <c r="B155" s="126" t="s">
        <v>1989</v>
      </c>
      <c r="C155" s="126">
        <f>C154+(BudgetsTable[[#This Row],[lead]]&lt;&gt;K154)</f>
        <v>31</v>
      </c>
      <c r="D155" s="126">
        <f>D154*(BudgetsTable[[#This Row],[lead]]=K154)+(BudgetsTable[[#This Row],[prop_id]]&lt;&gt;A154)</f>
        <v>5</v>
      </c>
      <c r="E155" s="127">
        <v>42809.584722222222</v>
      </c>
      <c r="F155" s="128" t="s">
        <v>1965</v>
      </c>
      <c r="G155" s="128" t="s">
        <v>741</v>
      </c>
      <c r="H155" s="128" t="s">
        <v>901</v>
      </c>
      <c r="I155" s="126" t="s">
        <v>540</v>
      </c>
      <c r="J155" s="126" t="s">
        <v>13</v>
      </c>
      <c r="K155" s="128" t="s">
        <v>1175</v>
      </c>
      <c r="L155" s="7" t="str">
        <f>IF(BudgetsTable[[#This Row],[pi_last_name]]=" ","",HYPERLINK("https://www.ejacket.nsf.gov/ej/showProposal.do?Continue=Y&amp;ID="&amp;BudgetsTable[[#This Row],[prop_id]],BudgetsTable[[#This Row],[prop_id]]))</f>
        <v/>
      </c>
      <c r="M155" s="15" t="str">
        <f>IF(BudgetsTable[[#This Row],[pi_last_name]]=" ","",HYPERLINK("https://www.ejacket.nsf.gov/ej/processReviewAnalysis.do?dispatch=add&amp;uniqId="&amp;BudgetsTable[[#This Row],[prop_id]]&amp;PO_id,"&gt;ra"))</f>
        <v/>
      </c>
      <c r="N155" s="128" t="s">
        <v>13</v>
      </c>
      <c r="O155" s="7" t="str">
        <f>IF(BudgetsTable[[#This Row],[pi_last_name]]=" ","",HYPERLINK("mailto:"&amp;BudgetsTable[[#This Row],[pi_email]]&amp;"&amp;subject=Your NSF Proposal:  "&amp;BudgetsTable[[#This Row],[prop_id]],BudgetsTable[[#This Row],[pi_email]]))</f>
        <v/>
      </c>
      <c r="P155" s="128" t="s">
        <v>13</v>
      </c>
      <c r="Q155" s="128">
        <v>3</v>
      </c>
      <c r="R155" s="128">
        <v>3</v>
      </c>
      <c r="S155" s="129">
        <v>0</v>
      </c>
      <c r="T155" s="129">
        <v>0</v>
      </c>
      <c r="U155" s="129">
        <v>0</v>
      </c>
      <c r="V155" s="130">
        <v>123654</v>
      </c>
      <c r="W155" s="128">
        <v>0</v>
      </c>
      <c r="X155" s="128">
        <v>3</v>
      </c>
      <c r="Y155" s="131" t="str">
        <f ca="1">IF(ISBLANK(BudgetsTable[[#This Row],[budg_seq_yr]]),"FY"&amp;fiscalyear,"FY"&amp;fiscalyear-1+BudgetsTable[[#This Row],[budg_seq_yr]])</f>
        <v>FY20</v>
      </c>
      <c r="Z155" s="129">
        <v>123654</v>
      </c>
      <c r="AA155" s="128" t="s">
        <v>741</v>
      </c>
      <c r="AB155" s="128" t="s">
        <v>901</v>
      </c>
      <c r="AC155" s="126" t="s">
        <v>94</v>
      </c>
      <c r="AD155" s="128" t="s">
        <v>1968</v>
      </c>
    </row>
    <row r="156" spans="1:30">
      <c r="A156" s="125" t="s">
        <v>1182</v>
      </c>
      <c r="B156" s="126" t="s">
        <v>96</v>
      </c>
      <c r="C156" s="126">
        <f>C155+(BudgetsTable[[#This Row],[lead]]&lt;&gt;K155)</f>
        <v>32</v>
      </c>
      <c r="D156" s="126">
        <f>D155*(BudgetsTable[[#This Row],[lead]]=K155)+(BudgetsTable[[#This Row],[prop_id]]&lt;&gt;A155)</f>
        <v>1</v>
      </c>
      <c r="E156" s="127">
        <v>42809.598611111112</v>
      </c>
      <c r="F156" s="128" t="s">
        <v>1965</v>
      </c>
      <c r="G156" s="128" t="s">
        <v>741</v>
      </c>
      <c r="H156" s="128" t="s">
        <v>901</v>
      </c>
      <c r="I156" s="126" t="s">
        <v>540</v>
      </c>
      <c r="J156" s="126" t="s">
        <v>2166</v>
      </c>
      <c r="K156" s="128" t="s">
        <v>1182</v>
      </c>
      <c r="L156" s="7" t="str">
        <f>IF(BudgetsTable[[#This Row],[pi_last_name]]=" ","",HYPERLINK("https://www.ejacket.nsf.gov/ej/showProposal.do?Continue=Y&amp;ID="&amp;BudgetsTable[[#This Row],[prop_id]],BudgetsTable[[#This Row],[prop_id]]))</f>
        <v>1740780</v>
      </c>
      <c r="M156" s="15" t="str">
        <f>IF(BudgetsTable[[#This Row],[pi_last_name]]=" ","",HYPERLINK("https://www.ejacket.nsf.gov/ej/processReviewAnalysis.do?dispatch=add&amp;uniqId="&amp;BudgetsTable[[#This Row],[prop_id]]&amp;PO_id,"&gt;ra"))</f>
        <v>&gt;ra</v>
      </c>
      <c r="N156" s="128" t="s">
        <v>1183</v>
      </c>
      <c r="O156" s="7" t="str">
        <f>IF(BudgetsTable[[#This Row],[pi_last_name]]=" ","",HYPERLINK("mailto:"&amp;BudgetsTable[[#This Row],[pi_email]]&amp;"&amp;subject=Your NSF Proposal:  "&amp;BudgetsTable[[#This Row],[prop_id]],BudgetsTable[[#This Row],[pi_email]]))</f>
        <v>gmichail@ufl.edu</v>
      </c>
      <c r="P156" s="128" t="s">
        <v>2163</v>
      </c>
      <c r="Q156" s="128"/>
      <c r="R156" s="128"/>
      <c r="S156" s="129"/>
      <c r="T156" s="129"/>
      <c r="U156" s="129"/>
      <c r="V156" s="130"/>
      <c r="W156" s="128">
        <v>0</v>
      </c>
      <c r="X156" s="128"/>
      <c r="Y156" s="131" t="str">
        <f ca="1">IF(ISBLANK(BudgetsTable[[#This Row],[budg_seq_yr]]),"FY"&amp;fiscalyear,"FY"&amp;fiscalyear-1+BudgetsTable[[#This Row],[budg_seq_yr]])</f>
        <v>FY18</v>
      </c>
      <c r="Z156" s="129">
        <v>1500000</v>
      </c>
      <c r="AA156" s="128" t="s">
        <v>741</v>
      </c>
      <c r="AB156" s="128" t="s">
        <v>901</v>
      </c>
      <c r="AC156" s="126" t="s">
        <v>94</v>
      </c>
      <c r="AD156" s="128" t="s">
        <v>2007</v>
      </c>
    </row>
    <row r="157" spans="1:30">
      <c r="A157" s="125" t="s">
        <v>1182</v>
      </c>
      <c r="B157" s="126" t="s">
        <v>96</v>
      </c>
      <c r="C157" s="126">
        <f>C156+(BudgetsTable[[#This Row],[lead]]&lt;&gt;K156)</f>
        <v>32</v>
      </c>
      <c r="D157" s="126">
        <f>D156*(BudgetsTable[[#This Row],[lead]]=K156)+(BudgetsTable[[#This Row],[prop_id]]&lt;&gt;A156)</f>
        <v>1</v>
      </c>
      <c r="E157" s="127">
        <v>42809.598611111112</v>
      </c>
      <c r="F157" s="128" t="s">
        <v>1965</v>
      </c>
      <c r="G157" s="128" t="s">
        <v>741</v>
      </c>
      <c r="H157" s="128" t="s">
        <v>901</v>
      </c>
      <c r="I157" s="126" t="s">
        <v>540</v>
      </c>
      <c r="J157" s="126" t="s">
        <v>13</v>
      </c>
      <c r="K157" s="128" t="s">
        <v>1182</v>
      </c>
      <c r="L157" s="7" t="str">
        <f>IF(BudgetsTable[[#This Row],[pi_last_name]]=" ","",HYPERLINK("https://www.ejacket.nsf.gov/ej/showProposal.do?Continue=Y&amp;ID="&amp;BudgetsTable[[#This Row],[prop_id]],BudgetsTable[[#This Row],[prop_id]]))</f>
        <v/>
      </c>
      <c r="M157" s="15" t="str">
        <f>IF(BudgetsTable[[#This Row],[pi_last_name]]=" ","",HYPERLINK("https://www.ejacket.nsf.gov/ej/processReviewAnalysis.do?dispatch=add&amp;uniqId="&amp;BudgetsTable[[#This Row],[prop_id]]&amp;PO_id,"&gt;ra"))</f>
        <v/>
      </c>
      <c r="N157" s="128" t="s">
        <v>13</v>
      </c>
      <c r="O157" s="7" t="str">
        <f>IF(BudgetsTable[[#This Row],[pi_last_name]]=" ","",HYPERLINK("mailto:"&amp;BudgetsTable[[#This Row],[pi_email]]&amp;"&amp;subject=Your NSF Proposal:  "&amp;BudgetsTable[[#This Row],[prop_id]],BudgetsTable[[#This Row],[pi_email]]))</f>
        <v/>
      </c>
      <c r="P157" s="128" t="s">
        <v>13</v>
      </c>
      <c r="Q157" s="128">
        <v>4</v>
      </c>
      <c r="R157" s="128">
        <v>3.85</v>
      </c>
      <c r="S157" s="129">
        <v>109992</v>
      </c>
      <c r="T157" s="129">
        <v>0</v>
      </c>
      <c r="U157" s="129">
        <v>41000</v>
      </c>
      <c r="V157" s="130">
        <v>500000</v>
      </c>
      <c r="W157" s="128">
        <v>0</v>
      </c>
      <c r="X157" s="128">
        <v>1</v>
      </c>
      <c r="Y157" s="131" t="str">
        <f ca="1">IF(ISBLANK(BudgetsTable[[#This Row],[budg_seq_yr]]),"FY"&amp;fiscalyear,"FY"&amp;fiscalyear-1+BudgetsTable[[#This Row],[budg_seq_yr]])</f>
        <v>FY18</v>
      </c>
      <c r="Z157" s="129">
        <v>500000</v>
      </c>
      <c r="AA157" s="128" t="s">
        <v>741</v>
      </c>
      <c r="AB157" s="128" t="s">
        <v>901</v>
      </c>
      <c r="AC157" s="126" t="s">
        <v>94</v>
      </c>
      <c r="AD157" s="128" t="s">
        <v>2007</v>
      </c>
    </row>
    <row r="158" spans="1:30">
      <c r="A158" s="125" t="s">
        <v>1182</v>
      </c>
      <c r="B158" s="126" t="s">
        <v>96</v>
      </c>
      <c r="C158" s="126">
        <f>C157+(BudgetsTable[[#This Row],[lead]]&lt;&gt;K157)</f>
        <v>32</v>
      </c>
      <c r="D158" s="126">
        <f>D157*(BudgetsTable[[#This Row],[lead]]=K157)+(BudgetsTable[[#This Row],[prop_id]]&lt;&gt;A157)</f>
        <v>1</v>
      </c>
      <c r="E158" s="127">
        <v>42809.598611111112</v>
      </c>
      <c r="F158" s="128" t="s">
        <v>1965</v>
      </c>
      <c r="G158" s="128" t="s">
        <v>741</v>
      </c>
      <c r="H158" s="128" t="s">
        <v>901</v>
      </c>
      <c r="I158" s="126" t="s">
        <v>540</v>
      </c>
      <c r="J158" s="126" t="s">
        <v>13</v>
      </c>
      <c r="K158" s="128" t="s">
        <v>1182</v>
      </c>
      <c r="L158" s="7" t="str">
        <f>IF(BudgetsTable[[#This Row],[pi_last_name]]=" ","",HYPERLINK("https://www.ejacket.nsf.gov/ej/showProposal.do?Continue=Y&amp;ID="&amp;BudgetsTable[[#This Row],[prop_id]],BudgetsTable[[#This Row],[prop_id]]))</f>
        <v/>
      </c>
      <c r="M158" s="15" t="str">
        <f>IF(BudgetsTable[[#This Row],[pi_last_name]]=" ","",HYPERLINK("https://www.ejacket.nsf.gov/ej/processReviewAnalysis.do?dispatch=add&amp;uniqId="&amp;BudgetsTable[[#This Row],[prop_id]]&amp;PO_id,"&gt;ra"))</f>
        <v/>
      </c>
      <c r="N158" s="128" t="s">
        <v>13</v>
      </c>
      <c r="O158" s="7" t="str">
        <f>IF(BudgetsTable[[#This Row],[pi_last_name]]=" ","",HYPERLINK("mailto:"&amp;BudgetsTable[[#This Row],[pi_email]]&amp;"&amp;subject=Your NSF Proposal:  "&amp;BudgetsTable[[#This Row],[prop_id]],BudgetsTable[[#This Row],[pi_email]]))</f>
        <v/>
      </c>
      <c r="P158" s="128" t="s">
        <v>13</v>
      </c>
      <c r="Q158" s="128">
        <v>4</v>
      </c>
      <c r="R158" s="128">
        <v>3.8</v>
      </c>
      <c r="S158" s="129">
        <v>113292</v>
      </c>
      <c r="T158" s="129">
        <v>0</v>
      </c>
      <c r="U158" s="129">
        <v>39000</v>
      </c>
      <c r="V158" s="130">
        <v>500000</v>
      </c>
      <c r="W158" s="128">
        <v>0</v>
      </c>
      <c r="X158" s="128">
        <v>2</v>
      </c>
      <c r="Y158" s="131" t="str">
        <f ca="1">IF(ISBLANK(BudgetsTable[[#This Row],[budg_seq_yr]]),"FY"&amp;fiscalyear,"FY"&amp;fiscalyear-1+BudgetsTable[[#This Row],[budg_seq_yr]])</f>
        <v>FY19</v>
      </c>
      <c r="Z158" s="129">
        <v>500000</v>
      </c>
      <c r="AA158" s="128" t="s">
        <v>741</v>
      </c>
      <c r="AB158" s="128" t="s">
        <v>901</v>
      </c>
      <c r="AC158" s="126" t="s">
        <v>94</v>
      </c>
      <c r="AD158" s="128" t="s">
        <v>2007</v>
      </c>
    </row>
    <row r="159" spans="1:30">
      <c r="A159" s="125" t="s">
        <v>1182</v>
      </c>
      <c r="B159" s="126" t="s">
        <v>96</v>
      </c>
      <c r="C159" s="126">
        <f>C158+(BudgetsTable[[#This Row],[lead]]&lt;&gt;K158)</f>
        <v>32</v>
      </c>
      <c r="D159" s="126">
        <f>D158*(BudgetsTable[[#This Row],[lead]]=K158)+(BudgetsTable[[#This Row],[prop_id]]&lt;&gt;A158)</f>
        <v>1</v>
      </c>
      <c r="E159" s="127">
        <v>42809.598611111112</v>
      </c>
      <c r="F159" s="128" t="s">
        <v>1965</v>
      </c>
      <c r="G159" s="128" t="s">
        <v>741</v>
      </c>
      <c r="H159" s="128" t="s">
        <v>901</v>
      </c>
      <c r="I159" s="126" t="s">
        <v>540</v>
      </c>
      <c r="J159" s="126" t="s">
        <v>13</v>
      </c>
      <c r="K159" s="128" t="s">
        <v>1182</v>
      </c>
      <c r="L159" s="7" t="str">
        <f>IF(BudgetsTable[[#This Row],[pi_last_name]]=" ","",HYPERLINK("https://www.ejacket.nsf.gov/ej/showProposal.do?Continue=Y&amp;ID="&amp;BudgetsTable[[#This Row],[prop_id]],BudgetsTable[[#This Row],[prop_id]]))</f>
        <v/>
      </c>
      <c r="M159" s="15" t="str">
        <f>IF(BudgetsTable[[#This Row],[pi_last_name]]=" ","",HYPERLINK("https://www.ejacket.nsf.gov/ej/processReviewAnalysis.do?dispatch=add&amp;uniqId="&amp;BudgetsTable[[#This Row],[prop_id]]&amp;PO_id,"&gt;ra"))</f>
        <v/>
      </c>
      <c r="N159" s="128" t="s">
        <v>13</v>
      </c>
      <c r="O159" s="7" t="str">
        <f>IF(BudgetsTable[[#This Row],[pi_last_name]]=" ","",HYPERLINK("mailto:"&amp;BudgetsTable[[#This Row],[pi_email]]&amp;"&amp;subject=Your NSF Proposal:  "&amp;BudgetsTable[[#This Row],[prop_id]],BudgetsTable[[#This Row],[pi_email]]))</f>
        <v/>
      </c>
      <c r="P159" s="128" t="s">
        <v>13</v>
      </c>
      <c r="Q159" s="128">
        <v>4</v>
      </c>
      <c r="R159" s="128">
        <v>3.75</v>
      </c>
      <c r="S159" s="129">
        <v>116690</v>
      </c>
      <c r="T159" s="129">
        <v>0</v>
      </c>
      <c r="U159" s="129">
        <v>36000</v>
      </c>
      <c r="V159" s="130">
        <v>500000</v>
      </c>
      <c r="W159" s="128">
        <v>0</v>
      </c>
      <c r="X159" s="128">
        <v>3</v>
      </c>
      <c r="Y159" s="131" t="str">
        <f ca="1">IF(ISBLANK(BudgetsTable[[#This Row],[budg_seq_yr]]),"FY"&amp;fiscalyear,"FY"&amp;fiscalyear-1+BudgetsTable[[#This Row],[budg_seq_yr]])</f>
        <v>FY20</v>
      </c>
      <c r="Z159" s="129">
        <v>500000</v>
      </c>
      <c r="AA159" s="128" t="s">
        <v>741</v>
      </c>
      <c r="AB159" s="128" t="s">
        <v>901</v>
      </c>
      <c r="AC159" s="126" t="s">
        <v>94</v>
      </c>
      <c r="AD159" s="128" t="s">
        <v>2007</v>
      </c>
    </row>
    <row r="160" spans="1:30">
      <c r="A160" s="125" t="s">
        <v>1190</v>
      </c>
      <c r="B160" s="126" t="s">
        <v>96</v>
      </c>
      <c r="C160" s="126">
        <f>C159+(BudgetsTable[[#This Row],[lead]]&lt;&gt;K159)</f>
        <v>33</v>
      </c>
      <c r="D160" s="126">
        <f>D159*(BudgetsTable[[#This Row],[lead]]=K159)+(BudgetsTable[[#This Row],[prop_id]]&lt;&gt;A159)</f>
        <v>1</v>
      </c>
      <c r="E160" s="127">
        <v>42809.629166666666</v>
      </c>
      <c r="F160" s="128" t="s">
        <v>1965</v>
      </c>
      <c r="G160" s="128" t="s">
        <v>741</v>
      </c>
      <c r="H160" s="128" t="s">
        <v>901</v>
      </c>
      <c r="I160" s="126" t="s">
        <v>948</v>
      </c>
      <c r="J160" s="126" t="s">
        <v>2170</v>
      </c>
      <c r="K160" s="128" t="s">
        <v>1190</v>
      </c>
      <c r="L160" s="7" t="str">
        <f>IF(BudgetsTable[[#This Row],[pi_last_name]]=" ","",HYPERLINK("https://www.ejacket.nsf.gov/ej/showProposal.do?Continue=Y&amp;ID="&amp;BudgetsTable[[#This Row],[prop_id]],BudgetsTable[[#This Row],[prop_id]]))</f>
        <v>1740790</v>
      </c>
      <c r="M160" s="15" t="str">
        <f>IF(BudgetsTable[[#This Row],[pi_last_name]]=" ","",HYPERLINK("https://www.ejacket.nsf.gov/ej/processReviewAnalysis.do?dispatch=add&amp;uniqId="&amp;BudgetsTable[[#This Row],[prop_id]]&amp;PO_id,"&gt;ra"))</f>
        <v>&gt;ra</v>
      </c>
      <c r="N160" s="128" t="s">
        <v>1191</v>
      </c>
      <c r="O160" s="7" t="str">
        <f>IF(BudgetsTable[[#This Row],[pi_last_name]]=" ","",HYPERLINK("mailto:"&amp;BudgetsTable[[#This Row],[pi_email]]&amp;"&amp;subject=Your NSF Proposal:  "&amp;BudgetsTable[[#This Row],[prop_id]],BudgetsTable[[#This Row],[pi_email]]))</f>
        <v>mitran@unc.edu</v>
      </c>
      <c r="P160" s="128" t="s">
        <v>2168</v>
      </c>
      <c r="Q160" s="128"/>
      <c r="R160" s="128"/>
      <c r="S160" s="129"/>
      <c r="T160" s="129"/>
      <c r="U160" s="129"/>
      <c r="V160" s="130"/>
      <c r="W160" s="128">
        <v>0</v>
      </c>
      <c r="X160" s="128"/>
      <c r="Y160" s="131" t="str">
        <f ca="1">IF(ISBLANK(BudgetsTable[[#This Row],[budg_seq_yr]]),"FY"&amp;fiscalyear,"FY"&amp;fiscalyear-1+BudgetsTable[[#This Row],[budg_seq_yr]])</f>
        <v>FY18</v>
      </c>
      <c r="Z160" s="129">
        <v>1495036</v>
      </c>
      <c r="AA160" s="128" t="s">
        <v>741</v>
      </c>
      <c r="AB160" s="128" t="s">
        <v>901</v>
      </c>
      <c r="AC160" s="126" t="s">
        <v>94</v>
      </c>
      <c r="AD160" s="128" t="s">
        <v>1968</v>
      </c>
    </row>
    <row r="161" spans="1:30">
      <c r="A161" s="125" t="s">
        <v>1190</v>
      </c>
      <c r="B161" s="126" t="s">
        <v>96</v>
      </c>
      <c r="C161" s="126">
        <f>C160+(BudgetsTable[[#This Row],[lead]]&lt;&gt;K160)</f>
        <v>33</v>
      </c>
      <c r="D161" s="126">
        <f>D160*(BudgetsTable[[#This Row],[lead]]=K160)+(BudgetsTable[[#This Row],[prop_id]]&lt;&gt;A160)</f>
        <v>1</v>
      </c>
      <c r="E161" s="127">
        <v>42809.629166666666</v>
      </c>
      <c r="F161" s="128" t="s">
        <v>1965</v>
      </c>
      <c r="G161" s="128" t="s">
        <v>741</v>
      </c>
      <c r="H161" s="128" t="s">
        <v>901</v>
      </c>
      <c r="I161" s="126" t="s">
        <v>948</v>
      </c>
      <c r="J161" s="126" t="s">
        <v>13</v>
      </c>
      <c r="K161" s="128" t="s">
        <v>1190</v>
      </c>
      <c r="L161" s="7" t="str">
        <f>IF(BudgetsTable[[#This Row],[pi_last_name]]=" ","",HYPERLINK("https://www.ejacket.nsf.gov/ej/showProposal.do?Continue=Y&amp;ID="&amp;BudgetsTable[[#This Row],[prop_id]],BudgetsTable[[#This Row],[prop_id]]))</f>
        <v/>
      </c>
      <c r="M161" s="15" t="str">
        <f>IF(BudgetsTable[[#This Row],[pi_last_name]]=" ","",HYPERLINK("https://www.ejacket.nsf.gov/ej/processReviewAnalysis.do?dispatch=add&amp;uniqId="&amp;BudgetsTable[[#This Row],[prop_id]]&amp;PO_id,"&gt;ra"))</f>
        <v/>
      </c>
      <c r="N161" s="128" t="s">
        <v>13</v>
      </c>
      <c r="O161" s="7" t="str">
        <f>IF(BudgetsTable[[#This Row],[pi_last_name]]=" ","",HYPERLINK("mailto:"&amp;BudgetsTable[[#This Row],[pi_email]]&amp;"&amp;subject=Your NSF Proposal:  "&amp;BudgetsTable[[#This Row],[prop_id]],BudgetsTable[[#This Row],[pi_email]]))</f>
        <v/>
      </c>
      <c r="P161" s="128" t="s">
        <v>13</v>
      </c>
      <c r="Q161" s="128">
        <v>4</v>
      </c>
      <c r="R161" s="128">
        <v>2.5</v>
      </c>
      <c r="S161" s="129">
        <v>0</v>
      </c>
      <c r="T161" s="129">
        <v>3600</v>
      </c>
      <c r="U161" s="129">
        <v>17000</v>
      </c>
      <c r="V161" s="130">
        <v>497776</v>
      </c>
      <c r="W161" s="128">
        <v>0</v>
      </c>
      <c r="X161" s="128">
        <v>1</v>
      </c>
      <c r="Y161" s="131" t="str">
        <f ca="1">IF(ISBLANK(BudgetsTable[[#This Row],[budg_seq_yr]]),"FY"&amp;fiscalyear,"FY"&amp;fiscalyear-1+BudgetsTable[[#This Row],[budg_seq_yr]])</f>
        <v>FY18</v>
      </c>
      <c r="Z161" s="129">
        <v>497776</v>
      </c>
      <c r="AA161" s="128" t="s">
        <v>741</v>
      </c>
      <c r="AB161" s="128" t="s">
        <v>901</v>
      </c>
      <c r="AC161" s="126" t="s">
        <v>94</v>
      </c>
      <c r="AD161" s="128" t="s">
        <v>1968</v>
      </c>
    </row>
    <row r="162" spans="1:30">
      <c r="A162" s="125" t="s">
        <v>1190</v>
      </c>
      <c r="B162" s="126" t="s">
        <v>96</v>
      </c>
      <c r="C162" s="126">
        <f>C161+(BudgetsTable[[#This Row],[lead]]&lt;&gt;K161)</f>
        <v>33</v>
      </c>
      <c r="D162" s="126">
        <f>D161*(BudgetsTable[[#This Row],[lead]]=K161)+(BudgetsTable[[#This Row],[prop_id]]&lt;&gt;A161)</f>
        <v>1</v>
      </c>
      <c r="E162" s="127">
        <v>42809.629166666666</v>
      </c>
      <c r="F162" s="128" t="s">
        <v>1965</v>
      </c>
      <c r="G162" s="128" t="s">
        <v>741</v>
      </c>
      <c r="H162" s="128" t="s">
        <v>901</v>
      </c>
      <c r="I162" s="126" t="s">
        <v>948</v>
      </c>
      <c r="J162" s="126" t="s">
        <v>13</v>
      </c>
      <c r="K162" s="128" t="s">
        <v>1190</v>
      </c>
      <c r="L162" s="7" t="str">
        <f>IF(BudgetsTable[[#This Row],[pi_last_name]]=" ","",HYPERLINK("https://www.ejacket.nsf.gov/ej/showProposal.do?Continue=Y&amp;ID="&amp;BudgetsTable[[#This Row],[prop_id]],BudgetsTable[[#This Row],[prop_id]]))</f>
        <v/>
      </c>
      <c r="M162" s="15" t="str">
        <f>IF(BudgetsTable[[#This Row],[pi_last_name]]=" ","",HYPERLINK("https://www.ejacket.nsf.gov/ej/processReviewAnalysis.do?dispatch=add&amp;uniqId="&amp;BudgetsTable[[#This Row],[prop_id]]&amp;PO_id,"&gt;ra"))</f>
        <v/>
      </c>
      <c r="N162" s="128" t="s">
        <v>13</v>
      </c>
      <c r="O162" s="7" t="str">
        <f>IF(BudgetsTable[[#This Row],[pi_last_name]]=" ","",HYPERLINK("mailto:"&amp;BudgetsTable[[#This Row],[pi_email]]&amp;"&amp;subject=Your NSF Proposal:  "&amp;BudgetsTable[[#This Row],[prop_id]],BudgetsTable[[#This Row],[pi_email]]))</f>
        <v/>
      </c>
      <c r="P162" s="128" t="s">
        <v>13</v>
      </c>
      <c r="Q162" s="128">
        <v>4</v>
      </c>
      <c r="R162" s="128">
        <v>2.5</v>
      </c>
      <c r="S162" s="129">
        <v>0</v>
      </c>
      <c r="T162" s="129">
        <v>3600</v>
      </c>
      <c r="U162" s="129">
        <v>17000</v>
      </c>
      <c r="V162" s="130">
        <v>498262</v>
      </c>
      <c r="W162" s="128">
        <v>0</v>
      </c>
      <c r="X162" s="128">
        <v>2</v>
      </c>
      <c r="Y162" s="131" t="str">
        <f ca="1">IF(ISBLANK(BudgetsTable[[#This Row],[budg_seq_yr]]),"FY"&amp;fiscalyear,"FY"&amp;fiscalyear-1+BudgetsTable[[#This Row],[budg_seq_yr]])</f>
        <v>FY19</v>
      </c>
      <c r="Z162" s="129">
        <v>498262</v>
      </c>
      <c r="AA162" s="128" t="s">
        <v>741</v>
      </c>
      <c r="AB162" s="128" t="s">
        <v>901</v>
      </c>
      <c r="AC162" s="126" t="s">
        <v>94</v>
      </c>
      <c r="AD162" s="128" t="s">
        <v>1968</v>
      </c>
    </row>
    <row r="163" spans="1:30">
      <c r="A163" s="125" t="s">
        <v>1190</v>
      </c>
      <c r="B163" s="126" t="s">
        <v>96</v>
      </c>
      <c r="C163" s="126">
        <f>C162+(BudgetsTable[[#This Row],[lead]]&lt;&gt;K162)</f>
        <v>33</v>
      </c>
      <c r="D163" s="126">
        <f>D162*(BudgetsTable[[#This Row],[lead]]=K162)+(BudgetsTable[[#This Row],[prop_id]]&lt;&gt;A162)</f>
        <v>1</v>
      </c>
      <c r="E163" s="127">
        <v>42809.629166666666</v>
      </c>
      <c r="F163" s="128" t="s">
        <v>1965</v>
      </c>
      <c r="G163" s="128" t="s">
        <v>741</v>
      </c>
      <c r="H163" s="128" t="s">
        <v>901</v>
      </c>
      <c r="I163" s="126" t="s">
        <v>948</v>
      </c>
      <c r="J163" s="126" t="s">
        <v>13</v>
      </c>
      <c r="K163" s="128" t="s">
        <v>1190</v>
      </c>
      <c r="L163" s="7" t="str">
        <f>IF(BudgetsTable[[#This Row],[pi_last_name]]=" ","",HYPERLINK("https://www.ejacket.nsf.gov/ej/showProposal.do?Continue=Y&amp;ID="&amp;BudgetsTable[[#This Row],[prop_id]],BudgetsTable[[#This Row],[prop_id]]))</f>
        <v/>
      </c>
      <c r="M163" s="15" t="str">
        <f>IF(BudgetsTable[[#This Row],[pi_last_name]]=" ","",HYPERLINK("https://www.ejacket.nsf.gov/ej/processReviewAnalysis.do?dispatch=add&amp;uniqId="&amp;BudgetsTable[[#This Row],[prop_id]]&amp;PO_id,"&gt;ra"))</f>
        <v/>
      </c>
      <c r="N163" s="128" t="s">
        <v>13</v>
      </c>
      <c r="O163" s="7" t="str">
        <f>IF(BudgetsTable[[#This Row],[pi_last_name]]=" ","",HYPERLINK("mailto:"&amp;BudgetsTable[[#This Row],[pi_email]]&amp;"&amp;subject=Your NSF Proposal:  "&amp;BudgetsTable[[#This Row],[prop_id]],BudgetsTable[[#This Row],[pi_email]]))</f>
        <v/>
      </c>
      <c r="P163" s="128" t="s">
        <v>13</v>
      </c>
      <c r="Q163" s="128">
        <v>4</v>
      </c>
      <c r="R163" s="128">
        <v>2.5</v>
      </c>
      <c r="S163" s="129">
        <v>0</v>
      </c>
      <c r="T163" s="129">
        <v>3600</v>
      </c>
      <c r="U163" s="129">
        <v>17000</v>
      </c>
      <c r="V163" s="130">
        <v>498998</v>
      </c>
      <c r="W163" s="128">
        <v>0</v>
      </c>
      <c r="X163" s="128">
        <v>3</v>
      </c>
      <c r="Y163" s="131" t="str">
        <f ca="1">IF(ISBLANK(BudgetsTable[[#This Row],[budg_seq_yr]]),"FY"&amp;fiscalyear,"FY"&amp;fiscalyear-1+BudgetsTable[[#This Row],[budg_seq_yr]])</f>
        <v>FY20</v>
      </c>
      <c r="Z163" s="129">
        <v>498998</v>
      </c>
      <c r="AA163" s="128" t="s">
        <v>741</v>
      </c>
      <c r="AB163" s="128" t="s">
        <v>901</v>
      </c>
      <c r="AC163" s="126" t="s">
        <v>94</v>
      </c>
      <c r="AD163" s="128" t="s">
        <v>1968</v>
      </c>
    </row>
    <row r="164" spans="1:30">
      <c r="A164" s="125" t="s">
        <v>1197</v>
      </c>
      <c r="B164" s="126" t="s">
        <v>1981</v>
      </c>
      <c r="C164" s="126">
        <f>C163+(BudgetsTable[[#This Row],[lead]]&lt;&gt;K163)</f>
        <v>34</v>
      </c>
      <c r="D164" s="126">
        <f>D163*(BudgetsTable[[#This Row],[lead]]=K163)+(BudgetsTable[[#This Row],[prop_id]]&lt;&gt;A163)</f>
        <v>1</v>
      </c>
      <c r="E164" s="127">
        <v>42809.64166666667</v>
      </c>
      <c r="F164" s="128" t="s">
        <v>1965</v>
      </c>
      <c r="G164" s="128" t="s">
        <v>741</v>
      </c>
      <c r="H164" s="128" t="s">
        <v>901</v>
      </c>
      <c r="I164" s="126" t="s">
        <v>540</v>
      </c>
      <c r="J164" s="126" t="s">
        <v>2174</v>
      </c>
      <c r="K164" s="128" t="s">
        <v>1197</v>
      </c>
      <c r="L164" s="7" t="str">
        <f>IF(BudgetsTable[[#This Row],[pi_last_name]]=" ","",HYPERLINK("https://www.ejacket.nsf.gov/ej/showProposal.do?Continue=Y&amp;ID="&amp;BudgetsTable[[#This Row],[prop_id]],BudgetsTable[[#This Row],[prop_id]]))</f>
        <v>1740796</v>
      </c>
      <c r="M164" s="15" t="str">
        <f>IF(BudgetsTable[[#This Row],[pi_last_name]]=" ","",HYPERLINK("https://www.ejacket.nsf.gov/ej/processReviewAnalysis.do?dispatch=add&amp;uniqId="&amp;BudgetsTable[[#This Row],[prop_id]]&amp;PO_id,"&gt;ra"))</f>
        <v>&gt;ra</v>
      </c>
      <c r="N164" s="128" t="s">
        <v>1198</v>
      </c>
      <c r="O164" s="7" t="str">
        <f>IF(BudgetsTable[[#This Row],[pi_last_name]]=" ","",HYPERLINK("mailto:"&amp;BudgetsTable[[#This Row],[pi_email]]&amp;"&amp;subject=Your NSF Proposal:  "&amp;BudgetsTable[[#This Row],[prop_id]],BudgetsTable[[#This Row],[pi_email]]))</f>
        <v>kas410@lehigh.edu</v>
      </c>
      <c r="P164" s="128" t="s">
        <v>2109</v>
      </c>
      <c r="Q164" s="128"/>
      <c r="R164" s="128"/>
      <c r="S164" s="129"/>
      <c r="T164" s="129"/>
      <c r="U164" s="129"/>
      <c r="V164" s="130"/>
      <c r="W164" s="128">
        <v>1</v>
      </c>
      <c r="X164" s="128"/>
      <c r="Y164" s="131" t="str">
        <f ca="1">IF(ISBLANK(BudgetsTable[[#This Row],[budg_seq_yr]]),"FY"&amp;fiscalyear,"FY"&amp;fiscalyear-1+BudgetsTable[[#This Row],[budg_seq_yr]])</f>
        <v>FY18</v>
      </c>
      <c r="Z164" s="129">
        <v>895670</v>
      </c>
      <c r="AA164" s="128" t="s">
        <v>741</v>
      </c>
      <c r="AB164" s="128" t="s">
        <v>901</v>
      </c>
      <c r="AC164" s="126" t="s">
        <v>94</v>
      </c>
      <c r="AD164" s="128" t="s">
        <v>2007</v>
      </c>
    </row>
    <row r="165" spans="1:30">
      <c r="A165" s="125" t="s">
        <v>1197</v>
      </c>
      <c r="B165" s="126" t="s">
        <v>1981</v>
      </c>
      <c r="C165" s="126">
        <f>C164+(BudgetsTable[[#This Row],[lead]]&lt;&gt;K164)</f>
        <v>34</v>
      </c>
      <c r="D165" s="126">
        <f>D164*(BudgetsTable[[#This Row],[lead]]=K164)+(BudgetsTable[[#This Row],[prop_id]]&lt;&gt;A164)</f>
        <v>1</v>
      </c>
      <c r="E165" s="127">
        <v>42809.64166666667</v>
      </c>
      <c r="F165" s="128" t="s">
        <v>1965</v>
      </c>
      <c r="G165" s="128" t="s">
        <v>741</v>
      </c>
      <c r="H165" s="128" t="s">
        <v>901</v>
      </c>
      <c r="I165" s="126" t="s">
        <v>540</v>
      </c>
      <c r="J165" s="126" t="s">
        <v>13</v>
      </c>
      <c r="K165" s="128" t="s">
        <v>1197</v>
      </c>
      <c r="L165" s="7" t="str">
        <f>IF(BudgetsTable[[#This Row],[pi_last_name]]=" ","",HYPERLINK("https://www.ejacket.nsf.gov/ej/showProposal.do?Continue=Y&amp;ID="&amp;BudgetsTable[[#This Row],[prop_id]],BudgetsTable[[#This Row],[prop_id]]))</f>
        <v/>
      </c>
      <c r="M165" s="15" t="str">
        <f>IF(BudgetsTable[[#This Row],[pi_last_name]]=" ","",HYPERLINK("https://www.ejacket.nsf.gov/ej/processReviewAnalysis.do?dispatch=add&amp;uniqId="&amp;BudgetsTable[[#This Row],[prop_id]]&amp;PO_id,"&gt;ra"))</f>
        <v/>
      </c>
      <c r="N165" s="128" t="s">
        <v>13</v>
      </c>
      <c r="O165" s="7" t="str">
        <f>IF(BudgetsTable[[#This Row],[pi_last_name]]=" ","",HYPERLINK("mailto:"&amp;BudgetsTable[[#This Row],[pi_email]]&amp;"&amp;subject=Your NSF Proposal:  "&amp;BudgetsTable[[#This Row],[prop_id]],BudgetsTable[[#This Row],[pi_email]]))</f>
        <v/>
      </c>
      <c r="P165" s="128" t="s">
        <v>13</v>
      </c>
      <c r="Q165" s="128">
        <v>3</v>
      </c>
      <c r="R165" s="128">
        <v>2.5</v>
      </c>
      <c r="S165" s="129">
        <v>45000</v>
      </c>
      <c r="T165" s="129">
        <v>0</v>
      </c>
      <c r="U165" s="129">
        <v>0</v>
      </c>
      <c r="V165" s="130">
        <v>300515</v>
      </c>
      <c r="W165" s="128">
        <v>1</v>
      </c>
      <c r="X165" s="128">
        <v>1</v>
      </c>
      <c r="Y165" s="131" t="str">
        <f ca="1">IF(ISBLANK(BudgetsTable[[#This Row],[budg_seq_yr]]),"FY"&amp;fiscalyear,"FY"&amp;fiscalyear-1+BudgetsTable[[#This Row],[budg_seq_yr]])</f>
        <v>FY18</v>
      </c>
      <c r="Z165" s="129">
        <v>300515</v>
      </c>
      <c r="AA165" s="128" t="s">
        <v>741</v>
      </c>
      <c r="AB165" s="128" t="s">
        <v>901</v>
      </c>
      <c r="AC165" s="126" t="s">
        <v>94</v>
      </c>
      <c r="AD165" s="128" t="s">
        <v>2007</v>
      </c>
    </row>
    <row r="166" spans="1:30">
      <c r="A166" s="125" t="s">
        <v>1197</v>
      </c>
      <c r="B166" s="126" t="s">
        <v>1981</v>
      </c>
      <c r="C166" s="126">
        <f>C165+(BudgetsTable[[#This Row],[lead]]&lt;&gt;K165)</f>
        <v>34</v>
      </c>
      <c r="D166" s="126">
        <f>D165*(BudgetsTable[[#This Row],[lead]]=K165)+(BudgetsTable[[#This Row],[prop_id]]&lt;&gt;A165)</f>
        <v>1</v>
      </c>
      <c r="E166" s="127">
        <v>42809.64166666667</v>
      </c>
      <c r="F166" s="128" t="s">
        <v>1965</v>
      </c>
      <c r="G166" s="128" t="s">
        <v>741</v>
      </c>
      <c r="H166" s="128" t="s">
        <v>901</v>
      </c>
      <c r="I166" s="126" t="s">
        <v>540</v>
      </c>
      <c r="J166" s="126" t="s">
        <v>13</v>
      </c>
      <c r="K166" s="128" t="s">
        <v>1197</v>
      </c>
      <c r="L166" s="7" t="str">
        <f>IF(BudgetsTable[[#This Row],[pi_last_name]]=" ","",HYPERLINK("https://www.ejacket.nsf.gov/ej/showProposal.do?Continue=Y&amp;ID="&amp;BudgetsTable[[#This Row],[prop_id]],BudgetsTable[[#This Row],[prop_id]]))</f>
        <v/>
      </c>
      <c r="M166" s="15" t="str">
        <f>IF(BudgetsTable[[#This Row],[pi_last_name]]=" ","",HYPERLINK("https://www.ejacket.nsf.gov/ej/processReviewAnalysis.do?dispatch=add&amp;uniqId="&amp;BudgetsTable[[#This Row],[prop_id]]&amp;PO_id,"&gt;ra"))</f>
        <v/>
      </c>
      <c r="N166" s="128" t="s">
        <v>13</v>
      </c>
      <c r="O166" s="7" t="str">
        <f>IF(BudgetsTable[[#This Row],[pi_last_name]]=" ","",HYPERLINK("mailto:"&amp;BudgetsTable[[#This Row],[pi_email]]&amp;"&amp;subject=Your NSF Proposal:  "&amp;BudgetsTable[[#This Row],[prop_id]],BudgetsTable[[#This Row],[pi_email]]))</f>
        <v/>
      </c>
      <c r="P166" s="128" t="s">
        <v>13</v>
      </c>
      <c r="Q166" s="128">
        <v>3</v>
      </c>
      <c r="R166" s="128">
        <v>2</v>
      </c>
      <c r="S166" s="129">
        <v>46350</v>
      </c>
      <c r="T166" s="129">
        <v>0</v>
      </c>
      <c r="U166" s="129">
        <v>0</v>
      </c>
      <c r="V166" s="130">
        <v>297296</v>
      </c>
      <c r="W166" s="128">
        <v>1</v>
      </c>
      <c r="X166" s="128">
        <v>2</v>
      </c>
      <c r="Y166" s="131" t="str">
        <f ca="1">IF(ISBLANK(BudgetsTable[[#This Row],[budg_seq_yr]]),"FY"&amp;fiscalyear,"FY"&amp;fiscalyear-1+BudgetsTable[[#This Row],[budg_seq_yr]])</f>
        <v>FY19</v>
      </c>
      <c r="Z166" s="129">
        <v>297296</v>
      </c>
      <c r="AA166" s="128" t="s">
        <v>741</v>
      </c>
      <c r="AB166" s="128" t="s">
        <v>901</v>
      </c>
      <c r="AC166" s="126" t="s">
        <v>94</v>
      </c>
      <c r="AD166" s="128" t="s">
        <v>2007</v>
      </c>
    </row>
    <row r="167" spans="1:30">
      <c r="A167" s="125" t="s">
        <v>1197</v>
      </c>
      <c r="B167" s="126" t="s">
        <v>1981</v>
      </c>
      <c r="C167" s="126">
        <f>C166+(BudgetsTable[[#This Row],[lead]]&lt;&gt;K166)</f>
        <v>34</v>
      </c>
      <c r="D167" s="126">
        <f>D166*(BudgetsTable[[#This Row],[lead]]=K166)+(BudgetsTable[[#This Row],[prop_id]]&lt;&gt;A166)</f>
        <v>1</v>
      </c>
      <c r="E167" s="127">
        <v>42809.64166666667</v>
      </c>
      <c r="F167" s="128" t="s">
        <v>1965</v>
      </c>
      <c r="G167" s="128" t="s">
        <v>741</v>
      </c>
      <c r="H167" s="128" t="s">
        <v>901</v>
      </c>
      <c r="I167" s="126" t="s">
        <v>540</v>
      </c>
      <c r="J167" s="126" t="s">
        <v>13</v>
      </c>
      <c r="K167" s="128" t="s">
        <v>1197</v>
      </c>
      <c r="L167" s="7" t="str">
        <f>IF(BudgetsTable[[#This Row],[pi_last_name]]=" ","",HYPERLINK("https://www.ejacket.nsf.gov/ej/showProposal.do?Continue=Y&amp;ID="&amp;BudgetsTable[[#This Row],[prop_id]],BudgetsTable[[#This Row],[prop_id]]))</f>
        <v/>
      </c>
      <c r="M167" s="15" t="str">
        <f>IF(BudgetsTable[[#This Row],[pi_last_name]]=" ","",HYPERLINK("https://www.ejacket.nsf.gov/ej/processReviewAnalysis.do?dispatch=add&amp;uniqId="&amp;BudgetsTable[[#This Row],[prop_id]]&amp;PO_id,"&gt;ra"))</f>
        <v/>
      </c>
      <c r="N167" s="128" t="s">
        <v>13</v>
      </c>
      <c r="O167" s="7" t="str">
        <f>IF(BudgetsTable[[#This Row],[pi_last_name]]=" ","",HYPERLINK("mailto:"&amp;BudgetsTable[[#This Row],[pi_email]]&amp;"&amp;subject=Your NSF Proposal:  "&amp;BudgetsTable[[#This Row],[prop_id]],BudgetsTable[[#This Row],[pi_email]]))</f>
        <v/>
      </c>
      <c r="P167" s="128" t="s">
        <v>13</v>
      </c>
      <c r="Q167" s="128">
        <v>3</v>
      </c>
      <c r="R167" s="128">
        <v>1.75</v>
      </c>
      <c r="S167" s="129">
        <v>47741</v>
      </c>
      <c r="T167" s="129">
        <v>0</v>
      </c>
      <c r="U167" s="129">
        <v>0</v>
      </c>
      <c r="V167" s="130">
        <v>297859</v>
      </c>
      <c r="W167" s="128">
        <v>1</v>
      </c>
      <c r="X167" s="128">
        <v>3</v>
      </c>
      <c r="Y167" s="131" t="str">
        <f ca="1">IF(ISBLANK(BudgetsTable[[#This Row],[budg_seq_yr]]),"FY"&amp;fiscalyear,"FY"&amp;fiscalyear-1+BudgetsTable[[#This Row],[budg_seq_yr]])</f>
        <v>FY20</v>
      </c>
      <c r="Z167" s="129">
        <v>297859</v>
      </c>
      <c r="AA167" s="128" t="s">
        <v>741</v>
      </c>
      <c r="AB167" s="128" t="s">
        <v>901</v>
      </c>
      <c r="AC167" s="126" t="s">
        <v>94</v>
      </c>
      <c r="AD167" s="128" t="s">
        <v>2007</v>
      </c>
    </row>
    <row r="168" spans="1:30">
      <c r="A168" s="125" t="s">
        <v>2175</v>
      </c>
      <c r="B168" s="126" t="s">
        <v>1989</v>
      </c>
      <c r="C168" s="126">
        <f>C167+(BudgetsTable[[#This Row],[lead]]&lt;&gt;K167)</f>
        <v>34</v>
      </c>
      <c r="D168" s="126">
        <f>D167*(BudgetsTable[[#This Row],[lead]]=K167)+(BudgetsTable[[#This Row],[prop_id]]&lt;&gt;A167)</f>
        <v>2</v>
      </c>
      <c r="E168" s="127">
        <v>42809.44027777778</v>
      </c>
      <c r="F168" s="128" t="s">
        <v>1965</v>
      </c>
      <c r="G168" s="128" t="s">
        <v>741</v>
      </c>
      <c r="H168" s="128" t="s">
        <v>901</v>
      </c>
      <c r="I168" s="126" t="s">
        <v>540</v>
      </c>
      <c r="J168" s="126" t="s">
        <v>2180</v>
      </c>
      <c r="K168" s="128" t="s">
        <v>1197</v>
      </c>
      <c r="L168" s="7" t="str">
        <f>IF(BudgetsTable[[#This Row],[pi_last_name]]=" ","",HYPERLINK("https://www.ejacket.nsf.gov/ej/showProposal.do?Continue=Y&amp;ID="&amp;BudgetsTable[[#This Row],[prop_id]],BudgetsTable[[#This Row],[prop_id]]))</f>
        <v>1740735</v>
      </c>
      <c r="M168" s="15" t="str">
        <f>IF(BudgetsTable[[#This Row],[pi_last_name]]=" ","",HYPERLINK("https://www.ejacket.nsf.gov/ej/processReviewAnalysis.do?dispatch=add&amp;uniqId="&amp;BudgetsTable[[#This Row],[prop_id]]&amp;PO_id,"&gt;ra"))</f>
        <v>&gt;ra</v>
      </c>
      <c r="N168" s="128" t="s">
        <v>2176</v>
      </c>
      <c r="O168" s="7" t="str">
        <f>IF(BudgetsTable[[#This Row],[pi_last_name]]=" ","",HYPERLINK("mailto:"&amp;BudgetsTable[[#This Row],[pi_email]]&amp;"&amp;subject=Your NSF Proposal:  "&amp;BudgetsTable[[#This Row],[prop_id]],BudgetsTable[[#This Row],[pi_email]]))</f>
        <v>hanliu@princeton.edu</v>
      </c>
      <c r="P168" s="128" t="s">
        <v>2178</v>
      </c>
      <c r="Q168" s="128"/>
      <c r="R168" s="128"/>
      <c r="S168" s="129"/>
      <c r="T168" s="129"/>
      <c r="U168" s="129"/>
      <c r="V168" s="130"/>
      <c r="W168" s="128">
        <v>0</v>
      </c>
      <c r="X168" s="128"/>
      <c r="Y168" s="131" t="str">
        <f ca="1">IF(ISBLANK(BudgetsTable[[#This Row],[budg_seq_yr]]),"FY"&amp;fiscalyear,"FY"&amp;fiscalyear-1+BudgetsTable[[#This Row],[budg_seq_yr]])</f>
        <v>FY18</v>
      </c>
      <c r="Z168" s="129">
        <v>300000</v>
      </c>
      <c r="AA168" s="128" t="s">
        <v>741</v>
      </c>
      <c r="AB168" s="128" t="s">
        <v>901</v>
      </c>
      <c r="AC168" s="126" t="s">
        <v>94</v>
      </c>
      <c r="AD168" s="128" t="s">
        <v>1968</v>
      </c>
    </row>
    <row r="169" spans="1:30">
      <c r="A169" s="125" t="s">
        <v>2175</v>
      </c>
      <c r="B169" s="126" t="s">
        <v>1989</v>
      </c>
      <c r="C169" s="126">
        <f>C168+(BudgetsTable[[#This Row],[lead]]&lt;&gt;K168)</f>
        <v>34</v>
      </c>
      <c r="D169" s="126">
        <f>D168*(BudgetsTable[[#This Row],[lead]]=K168)+(BudgetsTable[[#This Row],[prop_id]]&lt;&gt;A168)</f>
        <v>2</v>
      </c>
      <c r="E169" s="127">
        <v>42809.44027777778</v>
      </c>
      <c r="F169" s="128" t="s">
        <v>1965</v>
      </c>
      <c r="G169" s="128" t="s">
        <v>741</v>
      </c>
      <c r="H169" s="128" t="s">
        <v>901</v>
      </c>
      <c r="I169" s="126" t="s">
        <v>540</v>
      </c>
      <c r="J169" s="126" t="s">
        <v>13</v>
      </c>
      <c r="K169" s="128" t="s">
        <v>1197</v>
      </c>
      <c r="L169" s="7" t="str">
        <f>IF(BudgetsTable[[#This Row],[pi_last_name]]=" ","",HYPERLINK("https://www.ejacket.nsf.gov/ej/showProposal.do?Continue=Y&amp;ID="&amp;BudgetsTable[[#This Row],[prop_id]],BudgetsTable[[#This Row],[prop_id]]))</f>
        <v/>
      </c>
      <c r="M169" s="15" t="str">
        <f>IF(BudgetsTable[[#This Row],[pi_last_name]]=" ","",HYPERLINK("https://www.ejacket.nsf.gov/ej/processReviewAnalysis.do?dispatch=add&amp;uniqId="&amp;BudgetsTable[[#This Row],[prop_id]]&amp;PO_id,"&gt;ra"))</f>
        <v/>
      </c>
      <c r="N169" s="128" t="s">
        <v>13</v>
      </c>
      <c r="O169" s="7" t="str">
        <f>IF(BudgetsTable[[#This Row],[pi_last_name]]=" ","",HYPERLINK("mailto:"&amp;BudgetsTable[[#This Row],[pi_email]]&amp;"&amp;subject=Your NSF Proposal:  "&amp;BudgetsTable[[#This Row],[prop_id]],BudgetsTable[[#This Row],[pi_email]]))</f>
        <v/>
      </c>
      <c r="P169" s="128" t="s">
        <v>13</v>
      </c>
      <c r="Q169" s="128">
        <v>1</v>
      </c>
      <c r="R169" s="128">
        <v>1</v>
      </c>
      <c r="S169" s="129">
        <v>0</v>
      </c>
      <c r="T169" s="129">
        <v>0</v>
      </c>
      <c r="U169" s="129">
        <v>0</v>
      </c>
      <c r="V169" s="130">
        <v>78181</v>
      </c>
      <c r="W169" s="128">
        <v>0</v>
      </c>
      <c r="X169" s="128">
        <v>1</v>
      </c>
      <c r="Y169" s="131" t="str">
        <f ca="1">IF(ISBLANK(BudgetsTable[[#This Row],[budg_seq_yr]]),"FY"&amp;fiscalyear,"FY"&amp;fiscalyear-1+BudgetsTable[[#This Row],[budg_seq_yr]])</f>
        <v>FY18</v>
      </c>
      <c r="Z169" s="129">
        <v>78181</v>
      </c>
      <c r="AA169" s="128" t="s">
        <v>741</v>
      </c>
      <c r="AB169" s="128" t="s">
        <v>901</v>
      </c>
      <c r="AC169" s="126" t="s">
        <v>94</v>
      </c>
      <c r="AD169" s="128" t="s">
        <v>1968</v>
      </c>
    </row>
    <row r="170" spans="1:30">
      <c r="A170" s="125" t="s">
        <v>2175</v>
      </c>
      <c r="B170" s="126" t="s">
        <v>1989</v>
      </c>
      <c r="C170" s="126">
        <f>C169+(BudgetsTable[[#This Row],[lead]]&lt;&gt;K169)</f>
        <v>34</v>
      </c>
      <c r="D170" s="126">
        <f>D169*(BudgetsTable[[#This Row],[lead]]=K169)+(BudgetsTable[[#This Row],[prop_id]]&lt;&gt;A169)</f>
        <v>2</v>
      </c>
      <c r="E170" s="127">
        <v>42809.44027777778</v>
      </c>
      <c r="F170" s="128" t="s">
        <v>1965</v>
      </c>
      <c r="G170" s="128" t="s">
        <v>741</v>
      </c>
      <c r="H170" s="128" t="s">
        <v>901</v>
      </c>
      <c r="I170" s="126" t="s">
        <v>540</v>
      </c>
      <c r="J170" s="126" t="s">
        <v>13</v>
      </c>
      <c r="K170" s="128" t="s">
        <v>1197</v>
      </c>
      <c r="L170" s="7" t="str">
        <f>IF(BudgetsTable[[#This Row],[pi_last_name]]=" ","",HYPERLINK("https://www.ejacket.nsf.gov/ej/showProposal.do?Continue=Y&amp;ID="&amp;BudgetsTable[[#This Row],[prop_id]],BudgetsTable[[#This Row],[prop_id]]))</f>
        <v/>
      </c>
      <c r="M170" s="15" t="str">
        <f>IF(BudgetsTable[[#This Row],[pi_last_name]]=" ","",HYPERLINK("https://www.ejacket.nsf.gov/ej/processReviewAnalysis.do?dispatch=add&amp;uniqId="&amp;BudgetsTable[[#This Row],[prop_id]]&amp;PO_id,"&gt;ra"))</f>
        <v/>
      </c>
      <c r="N170" s="128" t="s">
        <v>13</v>
      </c>
      <c r="O170" s="7" t="str">
        <f>IF(BudgetsTable[[#This Row],[pi_last_name]]=" ","",HYPERLINK("mailto:"&amp;BudgetsTable[[#This Row],[pi_email]]&amp;"&amp;subject=Your NSF Proposal:  "&amp;BudgetsTable[[#This Row],[prop_id]],BudgetsTable[[#This Row],[pi_email]]))</f>
        <v/>
      </c>
      <c r="P170" s="128" t="s">
        <v>13</v>
      </c>
      <c r="Q170" s="128">
        <v>1</v>
      </c>
      <c r="R170" s="128">
        <v>1</v>
      </c>
      <c r="S170" s="129">
        <v>0</v>
      </c>
      <c r="T170" s="129">
        <v>0</v>
      </c>
      <c r="U170" s="129">
        <v>0</v>
      </c>
      <c r="V170" s="130">
        <v>124273</v>
      </c>
      <c r="W170" s="128">
        <v>0</v>
      </c>
      <c r="X170" s="128">
        <v>2</v>
      </c>
      <c r="Y170" s="131" t="str">
        <f ca="1">IF(ISBLANK(BudgetsTable[[#This Row],[budg_seq_yr]]),"FY"&amp;fiscalyear,"FY"&amp;fiscalyear-1+BudgetsTable[[#This Row],[budg_seq_yr]])</f>
        <v>FY19</v>
      </c>
      <c r="Z170" s="129">
        <v>124273</v>
      </c>
      <c r="AA170" s="128" t="s">
        <v>741</v>
      </c>
      <c r="AB170" s="128" t="s">
        <v>901</v>
      </c>
      <c r="AC170" s="126" t="s">
        <v>94</v>
      </c>
      <c r="AD170" s="128" t="s">
        <v>1968</v>
      </c>
    </row>
    <row r="171" spans="1:30">
      <c r="A171" s="125" t="s">
        <v>2175</v>
      </c>
      <c r="B171" s="126" t="s">
        <v>1989</v>
      </c>
      <c r="C171" s="126">
        <f>C170+(BudgetsTable[[#This Row],[lead]]&lt;&gt;K170)</f>
        <v>34</v>
      </c>
      <c r="D171" s="126">
        <f>D170*(BudgetsTable[[#This Row],[lead]]=K170)+(BudgetsTable[[#This Row],[prop_id]]&lt;&gt;A170)</f>
        <v>2</v>
      </c>
      <c r="E171" s="127">
        <v>42809.44027777778</v>
      </c>
      <c r="F171" s="128" t="s">
        <v>1965</v>
      </c>
      <c r="G171" s="128" t="s">
        <v>741</v>
      </c>
      <c r="H171" s="128" t="s">
        <v>901</v>
      </c>
      <c r="I171" s="126" t="s">
        <v>540</v>
      </c>
      <c r="J171" s="126" t="s">
        <v>13</v>
      </c>
      <c r="K171" s="128" t="s">
        <v>1197</v>
      </c>
      <c r="L171" s="7" t="str">
        <f>IF(BudgetsTable[[#This Row],[pi_last_name]]=" ","",HYPERLINK("https://www.ejacket.nsf.gov/ej/showProposal.do?Continue=Y&amp;ID="&amp;BudgetsTable[[#This Row],[prop_id]],BudgetsTable[[#This Row],[prop_id]]))</f>
        <v/>
      </c>
      <c r="M171" s="15" t="str">
        <f>IF(BudgetsTable[[#This Row],[pi_last_name]]=" ","",HYPERLINK("https://www.ejacket.nsf.gov/ej/processReviewAnalysis.do?dispatch=add&amp;uniqId="&amp;BudgetsTable[[#This Row],[prop_id]]&amp;PO_id,"&gt;ra"))</f>
        <v/>
      </c>
      <c r="N171" s="128" t="s">
        <v>13</v>
      </c>
      <c r="O171" s="7" t="str">
        <f>IF(BudgetsTable[[#This Row],[pi_last_name]]=" ","",HYPERLINK("mailto:"&amp;BudgetsTable[[#This Row],[pi_email]]&amp;"&amp;subject=Your NSF Proposal:  "&amp;BudgetsTable[[#This Row],[prop_id]],BudgetsTable[[#This Row],[pi_email]]))</f>
        <v/>
      </c>
      <c r="P171" s="128" t="s">
        <v>13</v>
      </c>
      <c r="Q171" s="128">
        <v>1</v>
      </c>
      <c r="R171" s="128">
        <v>1</v>
      </c>
      <c r="S171" s="129">
        <v>0</v>
      </c>
      <c r="T171" s="129">
        <v>0</v>
      </c>
      <c r="U171" s="129">
        <v>0</v>
      </c>
      <c r="V171" s="130">
        <v>97546</v>
      </c>
      <c r="W171" s="128">
        <v>0</v>
      </c>
      <c r="X171" s="128">
        <v>3</v>
      </c>
      <c r="Y171" s="131" t="str">
        <f ca="1">IF(ISBLANK(BudgetsTable[[#This Row],[budg_seq_yr]]),"FY"&amp;fiscalyear,"FY"&amp;fiscalyear-1+BudgetsTable[[#This Row],[budg_seq_yr]])</f>
        <v>FY20</v>
      </c>
      <c r="Z171" s="129">
        <v>97546</v>
      </c>
      <c r="AA171" s="128" t="s">
        <v>741</v>
      </c>
      <c r="AB171" s="128" t="s">
        <v>901</v>
      </c>
      <c r="AC171" s="126" t="s">
        <v>94</v>
      </c>
      <c r="AD171" s="128" t="s">
        <v>1968</v>
      </c>
    </row>
    <row r="172" spans="1:30">
      <c r="A172" s="125" t="s">
        <v>2181</v>
      </c>
      <c r="B172" s="126" t="s">
        <v>1989</v>
      </c>
      <c r="C172" s="126">
        <f>C171+(BudgetsTable[[#This Row],[lead]]&lt;&gt;K171)</f>
        <v>34</v>
      </c>
      <c r="D172" s="126">
        <f>D171*(BudgetsTable[[#This Row],[lead]]=K171)+(BudgetsTable[[#This Row],[prop_id]]&lt;&gt;A171)</f>
        <v>3</v>
      </c>
      <c r="E172" s="127">
        <v>42809.555555555555</v>
      </c>
      <c r="F172" s="128" t="s">
        <v>1965</v>
      </c>
      <c r="G172" s="128" t="s">
        <v>741</v>
      </c>
      <c r="H172" s="128" t="s">
        <v>901</v>
      </c>
      <c r="I172" s="126" t="s">
        <v>540</v>
      </c>
      <c r="J172" s="126" t="s">
        <v>773</v>
      </c>
      <c r="K172" s="128" t="s">
        <v>1197</v>
      </c>
      <c r="L172" s="7" t="str">
        <f>IF(BudgetsTable[[#This Row],[pi_last_name]]=" ","",HYPERLINK("https://www.ejacket.nsf.gov/ej/showProposal.do?Continue=Y&amp;ID="&amp;BudgetsTable[[#This Row],[prop_id]],BudgetsTable[[#This Row],[prop_id]]))</f>
        <v>1740762</v>
      </c>
      <c r="M172" s="15" t="str">
        <f>IF(BudgetsTable[[#This Row],[pi_last_name]]=" ","",HYPERLINK("https://www.ejacket.nsf.gov/ej/processReviewAnalysis.do?dispatch=add&amp;uniqId="&amp;BudgetsTable[[#This Row],[prop_id]]&amp;PO_id,"&gt;ra"))</f>
        <v>&gt;ra</v>
      </c>
      <c r="N172" s="128" t="s">
        <v>618</v>
      </c>
      <c r="O172" s="7" t="str">
        <f>IF(BudgetsTable[[#This Row],[pi_last_name]]=" ","",HYPERLINK("mailto:"&amp;BudgetsTable[[#This Row],[pi_email]]&amp;"&amp;subject=Your NSF Proposal:  "&amp;BudgetsTable[[#This Row],[prop_id]],BudgetsTable[[#This Row],[pi_email]]))</f>
        <v>francesco@cs.stonybrook.edu</v>
      </c>
      <c r="P172" s="128" t="s">
        <v>770</v>
      </c>
      <c r="Q172" s="128"/>
      <c r="R172" s="128"/>
      <c r="S172" s="129"/>
      <c r="T172" s="129"/>
      <c r="U172" s="129"/>
      <c r="V172" s="130"/>
      <c r="W172" s="128">
        <v>0</v>
      </c>
      <c r="X172" s="128"/>
      <c r="Y172" s="131" t="str">
        <f ca="1">IF(ISBLANK(BudgetsTable[[#This Row],[budg_seq_yr]]),"FY"&amp;fiscalyear,"FY"&amp;fiscalyear-1+BudgetsTable[[#This Row],[budg_seq_yr]])</f>
        <v>FY18</v>
      </c>
      <c r="Z172" s="129">
        <v>288482</v>
      </c>
      <c r="AA172" s="128" t="s">
        <v>741</v>
      </c>
      <c r="AB172" s="128" t="s">
        <v>901</v>
      </c>
      <c r="AC172" s="126" t="s">
        <v>94</v>
      </c>
      <c r="AD172" s="128" t="s">
        <v>1968</v>
      </c>
    </row>
    <row r="173" spans="1:30">
      <c r="A173" s="125" t="s">
        <v>2181</v>
      </c>
      <c r="B173" s="126" t="s">
        <v>1989</v>
      </c>
      <c r="C173" s="126">
        <f>C172+(BudgetsTable[[#This Row],[lead]]&lt;&gt;K172)</f>
        <v>34</v>
      </c>
      <c r="D173" s="126">
        <f>D172*(BudgetsTable[[#This Row],[lead]]=K172)+(BudgetsTable[[#This Row],[prop_id]]&lt;&gt;A172)</f>
        <v>3</v>
      </c>
      <c r="E173" s="127">
        <v>42809.555555555555</v>
      </c>
      <c r="F173" s="128" t="s">
        <v>1965</v>
      </c>
      <c r="G173" s="128" t="s">
        <v>741</v>
      </c>
      <c r="H173" s="128" t="s">
        <v>901</v>
      </c>
      <c r="I173" s="126" t="s">
        <v>540</v>
      </c>
      <c r="J173" s="126" t="s">
        <v>13</v>
      </c>
      <c r="K173" s="128" t="s">
        <v>1197</v>
      </c>
      <c r="L173" s="7" t="str">
        <f>IF(BudgetsTable[[#This Row],[pi_last_name]]=" ","",HYPERLINK("https://www.ejacket.nsf.gov/ej/showProposal.do?Continue=Y&amp;ID="&amp;BudgetsTable[[#This Row],[prop_id]],BudgetsTable[[#This Row],[prop_id]]))</f>
        <v/>
      </c>
      <c r="M173" s="15" t="str">
        <f>IF(BudgetsTable[[#This Row],[pi_last_name]]=" ","",HYPERLINK("https://www.ejacket.nsf.gov/ej/processReviewAnalysis.do?dispatch=add&amp;uniqId="&amp;BudgetsTable[[#This Row],[prop_id]]&amp;PO_id,"&gt;ra"))</f>
        <v/>
      </c>
      <c r="N173" s="128" t="s">
        <v>13</v>
      </c>
      <c r="O173" s="7" t="str">
        <f>IF(BudgetsTable[[#This Row],[pi_last_name]]=" ","",HYPERLINK("mailto:"&amp;BudgetsTable[[#This Row],[pi_email]]&amp;"&amp;subject=Your NSF Proposal:  "&amp;BudgetsTable[[#This Row],[prop_id]],BudgetsTable[[#This Row],[pi_email]]))</f>
        <v/>
      </c>
      <c r="P173" s="128" t="s">
        <v>13</v>
      </c>
      <c r="Q173" s="128">
        <v>1</v>
      </c>
      <c r="R173" s="128">
        <v>1</v>
      </c>
      <c r="S173" s="129">
        <v>0</v>
      </c>
      <c r="T173" s="129">
        <v>2500</v>
      </c>
      <c r="U173" s="129">
        <v>0</v>
      </c>
      <c r="V173" s="130">
        <v>93641</v>
      </c>
      <c r="W173" s="128">
        <v>0</v>
      </c>
      <c r="X173" s="128">
        <v>1</v>
      </c>
      <c r="Y173" s="131" t="str">
        <f ca="1">IF(ISBLANK(BudgetsTable[[#This Row],[budg_seq_yr]]),"FY"&amp;fiscalyear,"FY"&amp;fiscalyear-1+BudgetsTable[[#This Row],[budg_seq_yr]])</f>
        <v>FY18</v>
      </c>
      <c r="Z173" s="129">
        <v>93641</v>
      </c>
      <c r="AA173" s="128" t="s">
        <v>741</v>
      </c>
      <c r="AB173" s="128" t="s">
        <v>901</v>
      </c>
      <c r="AC173" s="126" t="s">
        <v>94</v>
      </c>
      <c r="AD173" s="128" t="s">
        <v>1968</v>
      </c>
    </row>
    <row r="174" spans="1:30">
      <c r="A174" s="125" t="s">
        <v>2181</v>
      </c>
      <c r="B174" s="126" t="s">
        <v>1989</v>
      </c>
      <c r="C174" s="126">
        <f>C173+(BudgetsTable[[#This Row],[lead]]&lt;&gt;K173)</f>
        <v>34</v>
      </c>
      <c r="D174" s="126">
        <f>D173*(BudgetsTable[[#This Row],[lead]]=K173)+(BudgetsTable[[#This Row],[prop_id]]&lt;&gt;A173)</f>
        <v>3</v>
      </c>
      <c r="E174" s="127">
        <v>42809.555555555555</v>
      </c>
      <c r="F174" s="128" t="s">
        <v>1965</v>
      </c>
      <c r="G174" s="128" t="s">
        <v>741</v>
      </c>
      <c r="H174" s="128" t="s">
        <v>901</v>
      </c>
      <c r="I174" s="126" t="s">
        <v>540</v>
      </c>
      <c r="J174" s="126" t="s">
        <v>13</v>
      </c>
      <c r="K174" s="128" t="s">
        <v>1197</v>
      </c>
      <c r="L174" s="7" t="str">
        <f>IF(BudgetsTable[[#This Row],[pi_last_name]]=" ","",HYPERLINK("https://www.ejacket.nsf.gov/ej/showProposal.do?Continue=Y&amp;ID="&amp;BudgetsTable[[#This Row],[prop_id]],BudgetsTable[[#This Row],[prop_id]]))</f>
        <v/>
      </c>
      <c r="M174" s="15" t="str">
        <f>IF(BudgetsTable[[#This Row],[pi_last_name]]=" ","",HYPERLINK("https://www.ejacket.nsf.gov/ej/processReviewAnalysis.do?dispatch=add&amp;uniqId="&amp;BudgetsTable[[#This Row],[prop_id]]&amp;PO_id,"&gt;ra"))</f>
        <v/>
      </c>
      <c r="N174" s="128" t="s">
        <v>13</v>
      </c>
      <c r="O174" s="7" t="str">
        <f>IF(BudgetsTable[[#This Row],[pi_last_name]]=" ","",HYPERLINK("mailto:"&amp;BudgetsTable[[#This Row],[pi_email]]&amp;"&amp;subject=Your NSF Proposal:  "&amp;BudgetsTable[[#This Row],[prop_id]],BudgetsTable[[#This Row],[pi_email]]))</f>
        <v/>
      </c>
      <c r="P174" s="128" t="s">
        <v>13</v>
      </c>
      <c r="Q174" s="128">
        <v>1</v>
      </c>
      <c r="R174" s="128">
        <v>1</v>
      </c>
      <c r="S174" s="129">
        <v>0</v>
      </c>
      <c r="T174" s="129">
        <v>2500</v>
      </c>
      <c r="U174" s="129">
        <v>0</v>
      </c>
      <c r="V174" s="130">
        <v>96231</v>
      </c>
      <c r="W174" s="128">
        <v>0</v>
      </c>
      <c r="X174" s="128">
        <v>2</v>
      </c>
      <c r="Y174" s="131" t="str">
        <f ca="1">IF(ISBLANK(BudgetsTable[[#This Row],[budg_seq_yr]]),"FY"&amp;fiscalyear,"FY"&amp;fiscalyear-1+BudgetsTable[[#This Row],[budg_seq_yr]])</f>
        <v>FY19</v>
      </c>
      <c r="Z174" s="129">
        <v>96231</v>
      </c>
      <c r="AA174" s="128" t="s">
        <v>741</v>
      </c>
      <c r="AB174" s="128" t="s">
        <v>901</v>
      </c>
      <c r="AC174" s="126" t="s">
        <v>94</v>
      </c>
      <c r="AD174" s="128" t="s">
        <v>1968</v>
      </c>
    </row>
    <row r="175" spans="1:30">
      <c r="A175" s="125" t="s">
        <v>2181</v>
      </c>
      <c r="B175" s="126" t="s">
        <v>1989</v>
      </c>
      <c r="C175" s="126">
        <f>C174+(BudgetsTable[[#This Row],[lead]]&lt;&gt;K174)</f>
        <v>34</v>
      </c>
      <c r="D175" s="126">
        <f>D174*(BudgetsTable[[#This Row],[lead]]=K174)+(BudgetsTable[[#This Row],[prop_id]]&lt;&gt;A174)</f>
        <v>3</v>
      </c>
      <c r="E175" s="127">
        <v>42809.555555555555</v>
      </c>
      <c r="F175" s="128" t="s">
        <v>1965</v>
      </c>
      <c r="G175" s="128" t="s">
        <v>741</v>
      </c>
      <c r="H175" s="128" t="s">
        <v>901</v>
      </c>
      <c r="I175" s="126" t="s">
        <v>540</v>
      </c>
      <c r="J175" s="126" t="s">
        <v>13</v>
      </c>
      <c r="K175" s="128" t="s">
        <v>1197</v>
      </c>
      <c r="L175" s="7" t="str">
        <f>IF(BudgetsTable[[#This Row],[pi_last_name]]=" ","",HYPERLINK("https://www.ejacket.nsf.gov/ej/showProposal.do?Continue=Y&amp;ID="&amp;BudgetsTable[[#This Row],[prop_id]],BudgetsTable[[#This Row],[prop_id]]))</f>
        <v/>
      </c>
      <c r="M175" s="15" t="str">
        <f>IF(BudgetsTable[[#This Row],[pi_last_name]]=" ","",HYPERLINK("https://www.ejacket.nsf.gov/ej/processReviewAnalysis.do?dispatch=add&amp;uniqId="&amp;BudgetsTable[[#This Row],[prop_id]]&amp;PO_id,"&gt;ra"))</f>
        <v/>
      </c>
      <c r="N175" s="128" t="s">
        <v>13</v>
      </c>
      <c r="O175" s="7" t="str">
        <f>IF(BudgetsTable[[#This Row],[pi_last_name]]=" ","",HYPERLINK("mailto:"&amp;BudgetsTable[[#This Row],[pi_email]]&amp;"&amp;subject=Your NSF Proposal:  "&amp;BudgetsTable[[#This Row],[prop_id]],BudgetsTable[[#This Row],[pi_email]]))</f>
        <v/>
      </c>
      <c r="P175" s="128" t="s">
        <v>13</v>
      </c>
      <c r="Q175" s="128">
        <v>1</v>
      </c>
      <c r="R175" s="128">
        <v>1</v>
      </c>
      <c r="S175" s="129">
        <v>0</v>
      </c>
      <c r="T175" s="129">
        <v>2500</v>
      </c>
      <c r="U175" s="129">
        <v>0</v>
      </c>
      <c r="V175" s="130">
        <v>98610</v>
      </c>
      <c r="W175" s="128">
        <v>0</v>
      </c>
      <c r="X175" s="128">
        <v>3</v>
      </c>
      <c r="Y175" s="131" t="str">
        <f ca="1">IF(ISBLANK(BudgetsTable[[#This Row],[budg_seq_yr]]),"FY"&amp;fiscalyear,"FY"&amp;fiscalyear-1+BudgetsTable[[#This Row],[budg_seq_yr]])</f>
        <v>FY20</v>
      </c>
      <c r="Z175" s="129">
        <v>98610</v>
      </c>
      <c r="AA175" s="128" t="s">
        <v>741</v>
      </c>
      <c r="AB175" s="128" t="s">
        <v>901</v>
      </c>
      <c r="AC175" s="126" t="s">
        <v>94</v>
      </c>
      <c r="AD175" s="128" t="s">
        <v>1968</v>
      </c>
    </row>
    <row r="176" spans="1:30">
      <c r="A176" s="125" t="s">
        <v>1207</v>
      </c>
      <c r="B176" s="126" t="s">
        <v>96</v>
      </c>
      <c r="C176" s="126">
        <f>C175+(BudgetsTable[[#This Row],[lead]]&lt;&gt;K175)</f>
        <v>35</v>
      </c>
      <c r="D176" s="126">
        <f>D175*(BudgetsTable[[#This Row],[lead]]=K175)+(BudgetsTable[[#This Row],[prop_id]]&lt;&gt;A175)</f>
        <v>1</v>
      </c>
      <c r="E176" s="127">
        <v>42809.642361111109</v>
      </c>
      <c r="F176" s="128" t="s">
        <v>1965</v>
      </c>
      <c r="G176" s="128" t="s">
        <v>741</v>
      </c>
      <c r="H176" s="128" t="s">
        <v>901</v>
      </c>
      <c r="I176" s="126" t="s">
        <v>540</v>
      </c>
      <c r="J176" s="126" t="s">
        <v>2187</v>
      </c>
      <c r="K176" s="128" t="s">
        <v>1207</v>
      </c>
      <c r="L176" s="7" t="str">
        <f>IF(BudgetsTable[[#This Row],[pi_last_name]]=" ","",HYPERLINK("https://www.ejacket.nsf.gov/ej/showProposal.do?Continue=Y&amp;ID="&amp;BudgetsTable[[#This Row],[prop_id]],BudgetsTable[[#This Row],[prop_id]]))</f>
        <v>1740797</v>
      </c>
      <c r="M176" s="15" t="str">
        <f>IF(BudgetsTable[[#This Row],[pi_last_name]]=" ","",HYPERLINK("https://www.ejacket.nsf.gov/ej/processReviewAnalysis.do?dispatch=add&amp;uniqId="&amp;BudgetsTable[[#This Row],[prop_id]]&amp;PO_id,"&gt;ra"))</f>
        <v>&gt;ra</v>
      </c>
      <c r="N176" s="128" t="s">
        <v>1208</v>
      </c>
      <c r="O176" s="7" t="str">
        <f>IF(BudgetsTable[[#This Row],[pi_last_name]]=" ","",HYPERLINK("mailto:"&amp;BudgetsTable[[#This Row],[pi_email]]&amp;"&amp;subject=Your NSF Proposal:  "&amp;BudgetsTable[[#This Row],[prop_id]],BudgetsTable[[#This Row],[pi_email]]))</f>
        <v>embree@vt.edu</v>
      </c>
      <c r="P176" s="128" t="s">
        <v>2184</v>
      </c>
      <c r="Q176" s="128"/>
      <c r="R176" s="128"/>
      <c r="S176" s="129"/>
      <c r="T176" s="129"/>
      <c r="U176" s="129"/>
      <c r="V176" s="130"/>
      <c r="W176" s="128">
        <v>0</v>
      </c>
      <c r="X176" s="128"/>
      <c r="Y176" s="131" t="str">
        <f ca="1">IF(ISBLANK(BudgetsTable[[#This Row],[budg_seq_yr]]),"FY"&amp;fiscalyear,"FY"&amp;fiscalyear-1+BudgetsTable[[#This Row],[budg_seq_yr]])</f>
        <v>FY18</v>
      </c>
      <c r="Z176" s="129">
        <v>1498424</v>
      </c>
      <c r="AA176" s="128" t="s">
        <v>741</v>
      </c>
      <c r="AB176" s="128" t="s">
        <v>901</v>
      </c>
      <c r="AC176" s="126" t="s">
        <v>94</v>
      </c>
      <c r="AD176" s="128" t="s">
        <v>2007</v>
      </c>
    </row>
    <row r="177" spans="1:30">
      <c r="A177" s="125" t="s">
        <v>1207</v>
      </c>
      <c r="B177" s="126" t="s">
        <v>96</v>
      </c>
      <c r="C177" s="126">
        <f>C176+(BudgetsTable[[#This Row],[lead]]&lt;&gt;K176)</f>
        <v>35</v>
      </c>
      <c r="D177" s="126">
        <f>D176*(BudgetsTable[[#This Row],[lead]]=K176)+(BudgetsTable[[#This Row],[prop_id]]&lt;&gt;A176)</f>
        <v>1</v>
      </c>
      <c r="E177" s="127">
        <v>42809.642361111109</v>
      </c>
      <c r="F177" s="128" t="s">
        <v>1965</v>
      </c>
      <c r="G177" s="128" t="s">
        <v>741</v>
      </c>
      <c r="H177" s="128" t="s">
        <v>901</v>
      </c>
      <c r="I177" s="126" t="s">
        <v>540</v>
      </c>
      <c r="J177" s="126" t="s">
        <v>13</v>
      </c>
      <c r="K177" s="128" t="s">
        <v>1207</v>
      </c>
      <c r="L177" s="7" t="str">
        <f>IF(BudgetsTable[[#This Row],[pi_last_name]]=" ","",HYPERLINK("https://www.ejacket.nsf.gov/ej/showProposal.do?Continue=Y&amp;ID="&amp;BudgetsTable[[#This Row],[prop_id]],BudgetsTable[[#This Row],[prop_id]]))</f>
        <v/>
      </c>
      <c r="M177" s="15" t="str">
        <f>IF(BudgetsTable[[#This Row],[pi_last_name]]=" ","",HYPERLINK("https://www.ejacket.nsf.gov/ej/processReviewAnalysis.do?dispatch=add&amp;uniqId="&amp;BudgetsTable[[#This Row],[prop_id]]&amp;PO_id,"&gt;ra"))</f>
        <v/>
      </c>
      <c r="N177" s="128" t="s">
        <v>13</v>
      </c>
      <c r="O177" s="7" t="str">
        <f>IF(BudgetsTable[[#This Row],[pi_last_name]]=" ","",HYPERLINK("mailto:"&amp;BudgetsTable[[#This Row],[pi_email]]&amp;"&amp;subject=Your NSF Proposal:  "&amp;BudgetsTable[[#This Row],[prop_id]],BudgetsTable[[#This Row],[pi_email]]))</f>
        <v/>
      </c>
      <c r="P177" s="128" t="s">
        <v>13</v>
      </c>
      <c r="Q177" s="128">
        <v>12</v>
      </c>
      <c r="R177" s="128">
        <v>5.33</v>
      </c>
      <c r="S177" s="129">
        <v>0</v>
      </c>
      <c r="T177" s="129">
        <v>0</v>
      </c>
      <c r="U177" s="129">
        <v>42448</v>
      </c>
      <c r="V177" s="130">
        <v>499313</v>
      </c>
      <c r="W177" s="128">
        <v>0</v>
      </c>
      <c r="X177" s="128">
        <v>1</v>
      </c>
      <c r="Y177" s="131" t="str">
        <f ca="1">IF(ISBLANK(BudgetsTable[[#This Row],[budg_seq_yr]]),"FY"&amp;fiscalyear,"FY"&amp;fiscalyear-1+BudgetsTable[[#This Row],[budg_seq_yr]])</f>
        <v>FY18</v>
      </c>
      <c r="Z177" s="129">
        <v>499313</v>
      </c>
      <c r="AA177" s="128" t="s">
        <v>741</v>
      </c>
      <c r="AB177" s="128" t="s">
        <v>901</v>
      </c>
      <c r="AC177" s="126" t="s">
        <v>94</v>
      </c>
      <c r="AD177" s="128" t="s">
        <v>2007</v>
      </c>
    </row>
    <row r="178" spans="1:30">
      <c r="A178" s="125" t="s">
        <v>1207</v>
      </c>
      <c r="B178" s="126" t="s">
        <v>96</v>
      </c>
      <c r="C178" s="126">
        <f>C177+(BudgetsTable[[#This Row],[lead]]&lt;&gt;K177)</f>
        <v>35</v>
      </c>
      <c r="D178" s="126">
        <f>D177*(BudgetsTable[[#This Row],[lead]]=K177)+(BudgetsTable[[#This Row],[prop_id]]&lt;&gt;A177)</f>
        <v>1</v>
      </c>
      <c r="E178" s="127">
        <v>42809.642361111109</v>
      </c>
      <c r="F178" s="128" t="s">
        <v>1965</v>
      </c>
      <c r="G178" s="128" t="s">
        <v>741</v>
      </c>
      <c r="H178" s="128" t="s">
        <v>901</v>
      </c>
      <c r="I178" s="126" t="s">
        <v>540</v>
      </c>
      <c r="J178" s="126" t="s">
        <v>13</v>
      </c>
      <c r="K178" s="128" t="s">
        <v>1207</v>
      </c>
      <c r="L178" s="7" t="str">
        <f>IF(BudgetsTable[[#This Row],[pi_last_name]]=" ","",HYPERLINK("https://www.ejacket.nsf.gov/ej/showProposal.do?Continue=Y&amp;ID="&amp;BudgetsTable[[#This Row],[prop_id]],BudgetsTable[[#This Row],[prop_id]]))</f>
        <v/>
      </c>
      <c r="M178" s="15" t="str">
        <f>IF(BudgetsTable[[#This Row],[pi_last_name]]=" ","",HYPERLINK("https://www.ejacket.nsf.gov/ej/processReviewAnalysis.do?dispatch=add&amp;uniqId="&amp;BudgetsTable[[#This Row],[prop_id]]&amp;PO_id,"&gt;ra"))</f>
        <v/>
      </c>
      <c r="N178" s="128" t="s">
        <v>13</v>
      </c>
      <c r="O178" s="7" t="str">
        <f>IF(BudgetsTable[[#This Row],[pi_last_name]]=" ","",HYPERLINK("mailto:"&amp;BudgetsTable[[#This Row],[pi_email]]&amp;"&amp;subject=Your NSF Proposal:  "&amp;BudgetsTable[[#This Row],[prop_id]],BudgetsTable[[#This Row],[pi_email]]))</f>
        <v/>
      </c>
      <c r="P178" s="128" t="s">
        <v>13</v>
      </c>
      <c r="Q178" s="128">
        <v>6</v>
      </c>
      <c r="R178" s="128">
        <v>2.33</v>
      </c>
      <c r="S178" s="129">
        <v>0</v>
      </c>
      <c r="T178" s="129">
        <v>0</v>
      </c>
      <c r="U178" s="129">
        <v>42448</v>
      </c>
      <c r="V178" s="130">
        <v>499115</v>
      </c>
      <c r="W178" s="128">
        <v>0</v>
      </c>
      <c r="X178" s="128">
        <v>2</v>
      </c>
      <c r="Y178" s="131" t="str">
        <f ca="1">IF(ISBLANK(BudgetsTable[[#This Row],[budg_seq_yr]]),"FY"&amp;fiscalyear,"FY"&amp;fiscalyear-1+BudgetsTable[[#This Row],[budg_seq_yr]])</f>
        <v>FY19</v>
      </c>
      <c r="Z178" s="129">
        <v>499115</v>
      </c>
      <c r="AA178" s="128" t="s">
        <v>741</v>
      </c>
      <c r="AB178" s="128" t="s">
        <v>901</v>
      </c>
      <c r="AC178" s="126" t="s">
        <v>94</v>
      </c>
      <c r="AD178" s="128" t="s">
        <v>2007</v>
      </c>
    </row>
    <row r="179" spans="1:30">
      <c r="A179" s="125" t="s">
        <v>1207</v>
      </c>
      <c r="B179" s="126" t="s">
        <v>96</v>
      </c>
      <c r="C179" s="126">
        <f>C178+(BudgetsTable[[#This Row],[lead]]&lt;&gt;K178)</f>
        <v>35</v>
      </c>
      <c r="D179" s="126">
        <f>D178*(BudgetsTable[[#This Row],[lead]]=K178)+(BudgetsTable[[#This Row],[prop_id]]&lt;&gt;A178)</f>
        <v>1</v>
      </c>
      <c r="E179" s="127">
        <v>42809.642361111109</v>
      </c>
      <c r="F179" s="128" t="s">
        <v>1965</v>
      </c>
      <c r="G179" s="128" t="s">
        <v>741</v>
      </c>
      <c r="H179" s="128" t="s">
        <v>901</v>
      </c>
      <c r="I179" s="126" t="s">
        <v>540</v>
      </c>
      <c r="J179" s="126" t="s">
        <v>13</v>
      </c>
      <c r="K179" s="128" t="s">
        <v>1207</v>
      </c>
      <c r="L179" s="7" t="str">
        <f>IF(BudgetsTable[[#This Row],[pi_last_name]]=" ","",HYPERLINK("https://www.ejacket.nsf.gov/ej/showProposal.do?Continue=Y&amp;ID="&amp;BudgetsTable[[#This Row],[prop_id]],BudgetsTable[[#This Row],[prop_id]]))</f>
        <v/>
      </c>
      <c r="M179" s="15" t="str">
        <f>IF(BudgetsTable[[#This Row],[pi_last_name]]=" ","",HYPERLINK("https://www.ejacket.nsf.gov/ej/processReviewAnalysis.do?dispatch=add&amp;uniqId="&amp;BudgetsTable[[#This Row],[prop_id]]&amp;PO_id,"&gt;ra"))</f>
        <v/>
      </c>
      <c r="N179" s="128" t="s">
        <v>13</v>
      </c>
      <c r="O179" s="7" t="str">
        <f>IF(BudgetsTable[[#This Row],[pi_last_name]]=" ","",HYPERLINK("mailto:"&amp;BudgetsTable[[#This Row],[pi_email]]&amp;"&amp;subject=Your NSF Proposal:  "&amp;BudgetsTable[[#This Row],[prop_id]],BudgetsTable[[#This Row],[pi_email]]))</f>
        <v/>
      </c>
      <c r="P179" s="128" t="s">
        <v>13</v>
      </c>
      <c r="Q179" s="128">
        <v>9</v>
      </c>
      <c r="R179" s="128">
        <v>3.83</v>
      </c>
      <c r="S179" s="129">
        <v>0</v>
      </c>
      <c r="T179" s="129">
        <v>0</v>
      </c>
      <c r="U179" s="129">
        <v>55003</v>
      </c>
      <c r="V179" s="130">
        <v>499996</v>
      </c>
      <c r="W179" s="128">
        <v>0</v>
      </c>
      <c r="X179" s="128">
        <v>3</v>
      </c>
      <c r="Y179" s="131" t="str">
        <f ca="1">IF(ISBLANK(BudgetsTable[[#This Row],[budg_seq_yr]]),"FY"&amp;fiscalyear,"FY"&amp;fiscalyear-1+BudgetsTable[[#This Row],[budg_seq_yr]])</f>
        <v>FY20</v>
      </c>
      <c r="Z179" s="129">
        <v>499996</v>
      </c>
      <c r="AA179" s="128" t="s">
        <v>741</v>
      </c>
      <c r="AB179" s="128" t="s">
        <v>901</v>
      </c>
      <c r="AC179" s="126" t="s">
        <v>94</v>
      </c>
      <c r="AD179" s="128" t="s">
        <v>2007</v>
      </c>
    </row>
    <row r="180" spans="1:30">
      <c r="A180" s="125" t="s">
        <v>1215</v>
      </c>
      <c r="B180" s="126" t="s">
        <v>96</v>
      </c>
      <c r="C180" s="126">
        <f>C179+(BudgetsTable[[#This Row],[lead]]&lt;&gt;K179)</f>
        <v>36</v>
      </c>
      <c r="D180" s="126">
        <f>D179*(BudgetsTable[[#This Row],[lead]]=K179)+(BudgetsTable[[#This Row],[prop_id]]&lt;&gt;A179)</f>
        <v>1</v>
      </c>
      <c r="E180" s="127">
        <v>42809.648611111108</v>
      </c>
      <c r="F180" s="128" t="s">
        <v>1965</v>
      </c>
      <c r="G180" s="128" t="s">
        <v>741</v>
      </c>
      <c r="H180" s="128" t="s">
        <v>901</v>
      </c>
      <c r="I180" s="126" t="s">
        <v>543</v>
      </c>
      <c r="J180" s="126" t="s">
        <v>2191</v>
      </c>
      <c r="K180" s="128" t="s">
        <v>1215</v>
      </c>
      <c r="L180" s="7" t="str">
        <f>IF(BudgetsTable[[#This Row],[pi_last_name]]=" ","",HYPERLINK("https://www.ejacket.nsf.gov/ej/showProposal.do?Continue=Y&amp;ID="&amp;BudgetsTable[[#This Row],[prop_id]],BudgetsTable[[#This Row],[prop_id]]))</f>
        <v>1740799</v>
      </c>
      <c r="M180" s="15" t="str">
        <f>IF(BudgetsTable[[#This Row],[pi_last_name]]=" ","",HYPERLINK("https://www.ejacket.nsf.gov/ej/processReviewAnalysis.do?dispatch=add&amp;uniqId="&amp;BudgetsTable[[#This Row],[prop_id]]&amp;PO_id,"&gt;ra"))</f>
        <v>&gt;ra</v>
      </c>
      <c r="N180" s="128" t="s">
        <v>1216</v>
      </c>
      <c r="O180" s="7" t="str">
        <f>IF(BudgetsTable[[#This Row],[pi_last_name]]=" ","",HYPERLINK("mailto:"&amp;BudgetsTable[[#This Row],[pi_email]]&amp;"&amp;subject=Your NSF Proposal:  "&amp;BudgetsTable[[#This Row],[prop_id]],BudgetsTable[[#This Row],[pi_email]]))</f>
        <v>rvidal@cis.jhu.edu</v>
      </c>
      <c r="P180" s="128" t="s">
        <v>1983</v>
      </c>
      <c r="Q180" s="128"/>
      <c r="R180" s="128"/>
      <c r="S180" s="129"/>
      <c r="T180" s="129"/>
      <c r="U180" s="129"/>
      <c r="V180" s="130"/>
      <c r="W180" s="128">
        <v>0</v>
      </c>
      <c r="X180" s="128"/>
      <c r="Y180" s="131" t="str">
        <f ca="1">IF(ISBLANK(BudgetsTable[[#This Row],[budg_seq_yr]]),"FY"&amp;fiscalyear,"FY"&amp;fiscalyear-1+BudgetsTable[[#This Row],[budg_seq_yr]])</f>
        <v>FY18</v>
      </c>
      <c r="Z180" s="129">
        <v>1500000</v>
      </c>
      <c r="AA180" s="128" t="s">
        <v>741</v>
      </c>
      <c r="AB180" s="128" t="s">
        <v>901</v>
      </c>
      <c r="AC180" s="126" t="s">
        <v>94</v>
      </c>
      <c r="AD180" s="128" t="s">
        <v>1968</v>
      </c>
    </row>
    <row r="181" spans="1:30">
      <c r="A181" s="125" t="s">
        <v>1215</v>
      </c>
      <c r="B181" s="126" t="s">
        <v>96</v>
      </c>
      <c r="C181" s="126">
        <f>C180+(BudgetsTable[[#This Row],[lead]]&lt;&gt;K180)</f>
        <v>36</v>
      </c>
      <c r="D181" s="126">
        <f>D180*(BudgetsTable[[#This Row],[lead]]=K180)+(BudgetsTable[[#This Row],[prop_id]]&lt;&gt;A180)</f>
        <v>1</v>
      </c>
      <c r="E181" s="127">
        <v>42809.648611111108</v>
      </c>
      <c r="F181" s="128" t="s">
        <v>1965</v>
      </c>
      <c r="G181" s="128" t="s">
        <v>741</v>
      </c>
      <c r="H181" s="128" t="s">
        <v>901</v>
      </c>
      <c r="I181" s="126" t="s">
        <v>543</v>
      </c>
      <c r="J181" s="126" t="s">
        <v>13</v>
      </c>
      <c r="K181" s="128" t="s">
        <v>1215</v>
      </c>
      <c r="L181" s="7" t="str">
        <f>IF(BudgetsTable[[#This Row],[pi_last_name]]=" ","",HYPERLINK("https://www.ejacket.nsf.gov/ej/showProposal.do?Continue=Y&amp;ID="&amp;BudgetsTable[[#This Row],[prop_id]],BudgetsTable[[#This Row],[prop_id]]))</f>
        <v/>
      </c>
      <c r="M181" s="15" t="str">
        <f>IF(BudgetsTable[[#This Row],[pi_last_name]]=" ","",HYPERLINK("https://www.ejacket.nsf.gov/ej/processReviewAnalysis.do?dispatch=add&amp;uniqId="&amp;BudgetsTable[[#This Row],[prop_id]]&amp;PO_id,"&gt;ra"))</f>
        <v/>
      </c>
      <c r="N181" s="128" t="s">
        <v>13</v>
      </c>
      <c r="O181" s="7" t="str">
        <f>IF(BudgetsTable[[#This Row],[pi_last_name]]=" ","",HYPERLINK("mailto:"&amp;BudgetsTable[[#This Row],[pi_email]]&amp;"&amp;subject=Your NSF Proposal:  "&amp;BudgetsTable[[#This Row],[prop_id]],BudgetsTable[[#This Row],[pi_email]]))</f>
        <v/>
      </c>
      <c r="P181" s="128" t="s">
        <v>13</v>
      </c>
      <c r="Q181" s="128">
        <v>7</v>
      </c>
      <c r="R181" s="128">
        <v>0</v>
      </c>
      <c r="S181" s="129">
        <v>0</v>
      </c>
      <c r="T181" s="129">
        <v>10400</v>
      </c>
      <c r="U181" s="129">
        <v>69990</v>
      </c>
      <c r="V181" s="130">
        <v>500000</v>
      </c>
      <c r="W181" s="128">
        <v>0</v>
      </c>
      <c r="X181" s="128">
        <v>1</v>
      </c>
      <c r="Y181" s="131" t="str">
        <f ca="1">IF(ISBLANK(BudgetsTable[[#This Row],[budg_seq_yr]]),"FY"&amp;fiscalyear,"FY"&amp;fiscalyear-1+BudgetsTable[[#This Row],[budg_seq_yr]])</f>
        <v>FY18</v>
      </c>
      <c r="Z181" s="129">
        <v>500000</v>
      </c>
      <c r="AA181" s="128" t="s">
        <v>741</v>
      </c>
      <c r="AB181" s="128" t="s">
        <v>901</v>
      </c>
      <c r="AC181" s="126" t="s">
        <v>94</v>
      </c>
      <c r="AD181" s="128" t="s">
        <v>1968</v>
      </c>
    </row>
    <row r="182" spans="1:30">
      <c r="A182" s="125" t="s">
        <v>1215</v>
      </c>
      <c r="B182" s="126" t="s">
        <v>96</v>
      </c>
      <c r="C182" s="126">
        <f>C181+(BudgetsTable[[#This Row],[lead]]&lt;&gt;K181)</f>
        <v>36</v>
      </c>
      <c r="D182" s="126">
        <f>D181*(BudgetsTable[[#This Row],[lead]]=K181)+(BudgetsTable[[#This Row],[prop_id]]&lt;&gt;A181)</f>
        <v>1</v>
      </c>
      <c r="E182" s="127">
        <v>42809.648611111108</v>
      </c>
      <c r="F182" s="128" t="s">
        <v>1965</v>
      </c>
      <c r="G182" s="128" t="s">
        <v>741</v>
      </c>
      <c r="H182" s="128" t="s">
        <v>901</v>
      </c>
      <c r="I182" s="126" t="s">
        <v>543</v>
      </c>
      <c r="J182" s="126" t="s">
        <v>13</v>
      </c>
      <c r="K182" s="128" t="s">
        <v>1215</v>
      </c>
      <c r="L182" s="7" t="str">
        <f>IF(BudgetsTable[[#This Row],[pi_last_name]]=" ","",HYPERLINK("https://www.ejacket.nsf.gov/ej/showProposal.do?Continue=Y&amp;ID="&amp;BudgetsTable[[#This Row],[prop_id]],BudgetsTable[[#This Row],[prop_id]]))</f>
        <v/>
      </c>
      <c r="M182" s="15" t="str">
        <f>IF(BudgetsTable[[#This Row],[pi_last_name]]=" ","",HYPERLINK("https://www.ejacket.nsf.gov/ej/processReviewAnalysis.do?dispatch=add&amp;uniqId="&amp;BudgetsTable[[#This Row],[prop_id]]&amp;PO_id,"&gt;ra"))</f>
        <v/>
      </c>
      <c r="N182" s="128" t="s">
        <v>13</v>
      </c>
      <c r="O182" s="7" t="str">
        <f>IF(BudgetsTable[[#This Row],[pi_last_name]]=" ","",HYPERLINK("mailto:"&amp;BudgetsTable[[#This Row],[pi_email]]&amp;"&amp;subject=Your NSF Proposal:  "&amp;BudgetsTable[[#This Row],[prop_id]],BudgetsTable[[#This Row],[pi_email]]))</f>
        <v/>
      </c>
      <c r="P182" s="128" t="s">
        <v>13</v>
      </c>
      <c r="Q182" s="128">
        <v>7</v>
      </c>
      <c r="R182" s="128">
        <v>0</v>
      </c>
      <c r="S182" s="129">
        <v>0</v>
      </c>
      <c r="T182" s="129">
        <v>10712</v>
      </c>
      <c r="U182" s="129">
        <v>69990</v>
      </c>
      <c r="V182" s="130">
        <v>500000</v>
      </c>
      <c r="W182" s="128">
        <v>0</v>
      </c>
      <c r="X182" s="128">
        <v>2</v>
      </c>
      <c r="Y182" s="131" t="str">
        <f ca="1">IF(ISBLANK(BudgetsTable[[#This Row],[budg_seq_yr]]),"FY"&amp;fiscalyear,"FY"&amp;fiscalyear-1+BudgetsTable[[#This Row],[budg_seq_yr]])</f>
        <v>FY19</v>
      </c>
      <c r="Z182" s="129">
        <v>500000</v>
      </c>
      <c r="AA182" s="128" t="s">
        <v>741</v>
      </c>
      <c r="AB182" s="128" t="s">
        <v>901</v>
      </c>
      <c r="AC182" s="126" t="s">
        <v>94</v>
      </c>
      <c r="AD182" s="128" t="s">
        <v>1968</v>
      </c>
    </row>
    <row r="183" spans="1:30">
      <c r="A183" s="125" t="s">
        <v>1215</v>
      </c>
      <c r="B183" s="126" t="s">
        <v>96</v>
      </c>
      <c r="C183" s="126">
        <f>C182+(BudgetsTable[[#This Row],[lead]]&lt;&gt;K182)</f>
        <v>36</v>
      </c>
      <c r="D183" s="126">
        <f>D182*(BudgetsTable[[#This Row],[lead]]=K182)+(BudgetsTable[[#This Row],[prop_id]]&lt;&gt;A182)</f>
        <v>1</v>
      </c>
      <c r="E183" s="127">
        <v>42809.648611111108</v>
      </c>
      <c r="F183" s="128" t="s">
        <v>1965</v>
      </c>
      <c r="G183" s="128" t="s">
        <v>741</v>
      </c>
      <c r="H183" s="128" t="s">
        <v>901</v>
      </c>
      <c r="I183" s="126" t="s">
        <v>543</v>
      </c>
      <c r="J183" s="126" t="s">
        <v>13</v>
      </c>
      <c r="K183" s="128" t="s">
        <v>1215</v>
      </c>
      <c r="L183" s="7" t="str">
        <f>IF(BudgetsTable[[#This Row],[pi_last_name]]=" ","",HYPERLINK("https://www.ejacket.nsf.gov/ej/showProposal.do?Continue=Y&amp;ID="&amp;BudgetsTable[[#This Row],[prop_id]],BudgetsTable[[#This Row],[prop_id]]))</f>
        <v/>
      </c>
      <c r="M183" s="15" t="str">
        <f>IF(BudgetsTable[[#This Row],[pi_last_name]]=" ","",HYPERLINK("https://www.ejacket.nsf.gov/ej/processReviewAnalysis.do?dispatch=add&amp;uniqId="&amp;BudgetsTable[[#This Row],[prop_id]]&amp;PO_id,"&gt;ra"))</f>
        <v/>
      </c>
      <c r="N183" s="128" t="s">
        <v>13</v>
      </c>
      <c r="O183" s="7" t="str">
        <f>IF(BudgetsTable[[#This Row],[pi_last_name]]=" ","",HYPERLINK("mailto:"&amp;BudgetsTable[[#This Row],[pi_email]]&amp;"&amp;subject=Your NSF Proposal:  "&amp;BudgetsTable[[#This Row],[prop_id]],BudgetsTable[[#This Row],[pi_email]]))</f>
        <v/>
      </c>
      <c r="P183" s="128" t="s">
        <v>13</v>
      </c>
      <c r="Q183" s="128">
        <v>7</v>
      </c>
      <c r="R183" s="128">
        <v>0</v>
      </c>
      <c r="S183" s="129">
        <v>0</v>
      </c>
      <c r="T183" s="129">
        <v>11033</v>
      </c>
      <c r="U183" s="129">
        <v>69990</v>
      </c>
      <c r="V183" s="130">
        <v>500000</v>
      </c>
      <c r="W183" s="128">
        <v>0</v>
      </c>
      <c r="X183" s="128">
        <v>3</v>
      </c>
      <c r="Y183" s="131" t="str">
        <f ca="1">IF(ISBLANK(BudgetsTable[[#This Row],[budg_seq_yr]]),"FY"&amp;fiscalyear,"FY"&amp;fiscalyear-1+BudgetsTable[[#This Row],[budg_seq_yr]])</f>
        <v>FY20</v>
      </c>
      <c r="Z183" s="129">
        <v>500000</v>
      </c>
      <c r="AA183" s="128" t="s">
        <v>741</v>
      </c>
      <c r="AB183" s="128" t="s">
        <v>901</v>
      </c>
      <c r="AC183" s="126" t="s">
        <v>94</v>
      </c>
      <c r="AD183" s="128" t="s">
        <v>1968</v>
      </c>
    </row>
    <row r="184" spans="1:30">
      <c r="A184" s="125" t="s">
        <v>1222</v>
      </c>
      <c r="B184" s="126" t="s">
        <v>96</v>
      </c>
      <c r="C184" s="126">
        <f>C183+(BudgetsTable[[#This Row],[lead]]&lt;&gt;K183)</f>
        <v>37</v>
      </c>
      <c r="D184" s="126">
        <f>D183*(BudgetsTable[[#This Row],[lead]]=K183)+(BudgetsTable[[#This Row],[prop_id]]&lt;&gt;A183)</f>
        <v>1</v>
      </c>
      <c r="E184" s="127">
        <v>42809.649305555555</v>
      </c>
      <c r="F184" s="128" t="s">
        <v>1965</v>
      </c>
      <c r="G184" s="128" t="s">
        <v>741</v>
      </c>
      <c r="H184" s="128" t="s">
        <v>901</v>
      </c>
      <c r="I184" s="126" t="s">
        <v>942</v>
      </c>
      <c r="J184" s="126" t="s">
        <v>2196</v>
      </c>
      <c r="K184" s="128" t="s">
        <v>1222</v>
      </c>
      <c r="L184" s="7" t="str">
        <f>IF(BudgetsTable[[#This Row],[pi_last_name]]=" ","",HYPERLINK("https://www.ejacket.nsf.gov/ej/showProposal.do?Continue=Y&amp;ID="&amp;BudgetsTable[[#This Row],[prop_id]],BudgetsTable[[#This Row],[prop_id]]))</f>
        <v>1740801</v>
      </c>
      <c r="M184" s="15" t="str">
        <f>IF(BudgetsTable[[#This Row],[pi_last_name]]=" ","",HYPERLINK("https://www.ejacket.nsf.gov/ej/processReviewAnalysis.do?dispatch=add&amp;uniqId="&amp;BudgetsTable[[#This Row],[prop_id]]&amp;PO_id,"&gt;ra"))</f>
        <v>&gt;ra</v>
      </c>
      <c r="N184" s="128" t="s">
        <v>1223</v>
      </c>
      <c r="O184" s="7" t="str">
        <f>IF(BudgetsTable[[#This Row],[pi_last_name]]=" ","",HYPERLINK("mailto:"&amp;BudgetsTable[[#This Row],[pi_email]]&amp;"&amp;subject=Your NSF Proposal:  "&amp;BudgetsTable[[#This Row],[prop_id]],BudgetsTable[[#This Row],[pi_email]]))</f>
        <v>jeffp@cs.utah.edu</v>
      </c>
      <c r="P184" s="128" t="s">
        <v>2193</v>
      </c>
      <c r="Q184" s="128"/>
      <c r="R184" s="128"/>
      <c r="S184" s="129"/>
      <c r="T184" s="129"/>
      <c r="U184" s="129"/>
      <c r="V184" s="130"/>
      <c r="W184" s="128">
        <v>0</v>
      </c>
      <c r="X184" s="128"/>
      <c r="Y184" s="131" t="str">
        <f ca="1">IF(ISBLANK(BudgetsTable[[#This Row],[budg_seq_yr]]),"FY"&amp;fiscalyear,"FY"&amp;fiscalyear-1+BudgetsTable[[#This Row],[budg_seq_yr]])</f>
        <v>FY18</v>
      </c>
      <c r="Z184" s="129">
        <v>1500000</v>
      </c>
      <c r="AA184" s="128" t="s">
        <v>741</v>
      </c>
      <c r="AB184" s="128" t="s">
        <v>901</v>
      </c>
      <c r="AC184" s="126" t="s">
        <v>94</v>
      </c>
      <c r="AD184" s="128" t="s">
        <v>1968</v>
      </c>
    </row>
    <row r="185" spans="1:30">
      <c r="A185" s="125" t="s">
        <v>1222</v>
      </c>
      <c r="B185" s="126" t="s">
        <v>96</v>
      </c>
      <c r="C185" s="126">
        <f>C184+(BudgetsTable[[#This Row],[lead]]&lt;&gt;K184)</f>
        <v>37</v>
      </c>
      <c r="D185" s="126">
        <f>D184*(BudgetsTable[[#This Row],[lead]]=K184)+(BudgetsTable[[#This Row],[prop_id]]&lt;&gt;A184)</f>
        <v>1</v>
      </c>
      <c r="E185" s="127">
        <v>42809.649305555555</v>
      </c>
      <c r="F185" s="128" t="s">
        <v>1965</v>
      </c>
      <c r="G185" s="128" t="s">
        <v>741</v>
      </c>
      <c r="H185" s="128" t="s">
        <v>901</v>
      </c>
      <c r="I185" s="126" t="s">
        <v>942</v>
      </c>
      <c r="J185" s="126" t="s">
        <v>13</v>
      </c>
      <c r="K185" s="128" t="s">
        <v>1222</v>
      </c>
      <c r="L185" s="7" t="str">
        <f>IF(BudgetsTable[[#This Row],[pi_last_name]]=" ","",HYPERLINK("https://www.ejacket.nsf.gov/ej/showProposal.do?Continue=Y&amp;ID="&amp;BudgetsTable[[#This Row],[prop_id]],BudgetsTable[[#This Row],[prop_id]]))</f>
        <v/>
      </c>
      <c r="M185" s="15" t="str">
        <f>IF(BudgetsTable[[#This Row],[pi_last_name]]=" ","",HYPERLINK("https://www.ejacket.nsf.gov/ej/processReviewAnalysis.do?dispatch=add&amp;uniqId="&amp;BudgetsTable[[#This Row],[prop_id]]&amp;PO_id,"&gt;ra"))</f>
        <v/>
      </c>
      <c r="N185" s="128" t="s">
        <v>13</v>
      </c>
      <c r="O185" s="7" t="str">
        <f>IF(BudgetsTable[[#This Row],[pi_last_name]]=" ","",HYPERLINK("mailto:"&amp;BudgetsTable[[#This Row],[pi_email]]&amp;"&amp;subject=Your NSF Proposal:  "&amp;BudgetsTable[[#This Row],[prop_id]],BudgetsTable[[#This Row],[pi_email]]))</f>
        <v/>
      </c>
      <c r="P185" s="128" t="s">
        <v>13</v>
      </c>
      <c r="Q185" s="128">
        <v>7</v>
      </c>
      <c r="R185" s="128">
        <v>2</v>
      </c>
      <c r="S185" s="129">
        <v>65000</v>
      </c>
      <c r="T185" s="129">
        <v>0</v>
      </c>
      <c r="U185" s="129">
        <v>15000</v>
      </c>
      <c r="V185" s="130">
        <v>500000</v>
      </c>
      <c r="W185" s="128">
        <v>0</v>
      </c>
      <c r="X185" s="128">
        <v>1</v>
      </c>
      <c r="Y185" s="131" t="str">
        <f ca="1">IF(ISBLANK(BudgetsTable[[#This Row],[budg_seq_yr]]),"FY"&amp;fiscalyear,"FY"&amp;fiscalyear-1+BudgetsTable[[#This Row],[budg_seq_yr]])</f>
        <v>FY18</v>
      </c>
      <c r="Z185" s="129">
        <v>500000</v>
      </c>
      <c r="AA185" s="128" t="s">
        <v>741</v>
      </c>
      <c r="AB185" s="128" t="s">
        <v>901</v>
      </c>
      <c r="AC185" s="126" t="s">
        <v>94</v>
      </c>
      <c r="AD185" s="128" t="s">
        <v>1968</v>
      </c>
    </row>
    <row r="186" spans="1:30">
      <c r="A186" s="125" t="s">
        <v>1222</v>
      </c>
      <c r="B186" s="126" t="s">
        <v>96</v>
      </c>
      <c r="C186" s="126">
        <f>C185+(BudgetsTable[[#This Row],[lead]]&lt;&gt;K185)</f>
        <v>37</v>
      </c>
      <c r="D186" s="126">
        <f>D185*(BudgetsTable[[#This Row],[lead]]=K185)+(BudgetsTable[[#This Row],[prop_id]]&lt;&gt;A185)</f>
        <v>1</v>
      </c>
      <c r="E186" s="127">
        <v>42809.649305555555</v>
      </c>
      <c r="F186" s="128" t="s">
        <v>1965</v>
      </c>
      <c r="G186" s="128" t="s">
        <v>741</v>
      </c>
      <c r="H186" s="128" t="s">
        <v>901</v>
      </c>
      <c r="I186" s="126" t="s">
        <v>942</v>
      </c>
      <c r="J186" s="126" t="s">
        <v>13</v>
      </c>
      <c r="K186" s="128" t="s">
        <v>1222</v>
      </c>
      <c r="L186" s="7" t="str">
        <f>IF(BudgetsTable[[#This Row],[pi_last_name]]=" ","",HYPERLINK("https://www.ejacket.nsf.gov/ej/showProposal.do?Continue=Y&amp;ID="&amp;BudgetsTable[[#This Row],[prop_id]],BudgetsTable[[#This Row],[prop_id]]))</f>
        <v/>
      </c>
      <c r="M186" s="15" t="str">
        <f>IF(BudgetsTable[[#This Row],[pi_last_name]]=" ","",HYPERLINK("https://www.ejacket.nsf.gov/ej/processReviewAnalysis.do?dispatch=add&amp;uniqId="&amp;BudgetsTable[[#This Row],[prop_id]]&amp;PO_id,"&gt;ra"))</f>
        <v/>
      </c>
      <c r="N186" s="128" t="s">
        <v>13</v>
      </c>
      <c r="O186" s="7" t="str">
        <f>IF(BudgetsTable[[#This Row],[pi_last_name]]=" ","",HYPERLINK("mailto:"&amp;BudgetsTable[[#This Row],[pi_email]]&amp;"&amp;subject=Your NSF Proposal:  "&amp;BudgetsTable[[#This Row],[prop_id]],BudgetsTable[[#This Row],[pi_email]]))</f>
        <v/>
      </c>
      <c r="P186" s="128" t="s">
        <v>13</v>
      </c>
      <c r="Q186" s="128">
        <v>7</v>
      </c>
      <c r="R186" s="128">
        <v>2</v>
      </c>
      <c r="S186" s="129">
        <v>67600</v>
      </c>
      <c r="T186" s="129">
        <v>0</v>
      </c>
      <c r="U186" s="129">
        <v>15000</v>
      </c>
      <c r="V186" s="130">
        <v>500000</v>
      </c>
      <c r="W186" s="128">
        <v>0</v>
      </c>
      <c r="X186" s="128">
        <v>2</v>
      </c>
      <c r="Y186" s="131" t="str">
        <f ca="1">IF(ISBLANK(BudgetsTable[[#This Row],[budg_seq_yr]]),"FY"&amp;fiscalyear,"FY"&amp;fiscalyear-1+BudgetsTable[[#This Row],[budg_seq_yr]])</f>
        <v>FY19</v>
      </c>
      <c r="Z186" s="129">
        <v>500000</v>
      </c>
      <c r="AA186" s="128" t="s">
        <v>741</v>
      </c>
      <c r="AB186" s="128" t="s">
        <v>901</v>
      </c>
      <c r="AC186" s="126" t="s">
        <v>94</v>
      </c>
      <c r="AD186" s="128" t="s">
        <v>1968</v>
      </c>
    </row>
    <row r="187" spans="1:30">
      <c r="A187" s="125" t="s">
        <v>1222</v>
      </c>
      <c r="B187" s="126" t="s">
        <v>96</v>
      </c>
      <c r="C187" s="126">
        <f>C186+(BudgetsTable[[#This Row],[lead]]&lt;&gt;K186)</f>
        <v>37</v>
      </c>
      <c r="D187" s="126">
        <f>D186*(BudgetsTable[[#This Row],[lead]]=K186)+(BudgetsTable[[#This Row],[prop_id]]&lt;&gt;A186)</f>
        <v>1</v>
      </c>
      <c r="E187" s="127">
        <v>42809.649305555555</v>
      </c>
      <c r="F187" s="128" t="s">
        <v>1965</v>
      </c>
      <c r="G187" s="128" t="s">
        <v>741</v>
      </c>
      <c r="H187" s="128" t="s">
        <v>901</v>
      </c>
      <c r="I187" s="126" t="s">
        <v>942</v>
      </c>
      <c r="J187" s="126" t="s">
        <v>13</v>
      </c>
      <c r="K187" s="128" t="s">
        <v>1222</v>
      </c>
      <c r="L187" s="7" t="str">
        <f>IF(BudgetsTable[[#This Row],[pi_last_name]]=" ","",HYPERLINK("https://www.ejacket.nsf.gov/ej/showProposal.do?Continue=Y&amp;ID="&amp;BudgetsTable[[#This Row],[prop_id]],BudgetsTable[[#This Row],[prop_id]]))</f>
        <v/>
      </c>
      <c r="M187" s="15" t="str">
        <f>IF(BudgetsTable[[#This Row],[pi_last_name]]=" ","",HYPERLINK("https://www.ejacket.nsf.gov/ej/processReviewAnalysis.do?dispatch=add&amp;uniqId="&amp;BudgetsTable[[#This Row],[prop_id]]&amp;PO_id,"&gt;ra"))</f>
        <v/>
      </c>
      <c r="N187" s="128" t="s">
        <v>13</v>
      </c>
      <c r="O187" s="7" t="str">
        <f>IF(BudgetsTable[[#This Row],[pi_last_name]]=" ","",HYPERLINK("mailto:"&amp;BudgetsTable[[#This Row],[pi_email]]&amp;"&amp;subject=Your NSF Proposal:  "&amp;BudgetsTable[[#This Row],[prop_id]],BudgetsTable[[#This Row],[pi_email]]))</f>
        <v/>
      </c>
      <c r="P187" s="128" t="s">
        <v>13</v>
      </c>
      <c r="Q187" s="128">
        <v>7</v>
      </c>
      <c r="R187" s="128">
        <v>2</v>
      </c>
      <c r="S187" s="129">
        <v>70304</v>
      </c>
      <c r="T187" s="129">
        <v>0</v>
      </c>
      <c r="U187" s="129">
        <v>15000</v>
      </c>
      <c r="V187" s="130">
        <v>500000</v>
      </c>
      <c r="W187" s="128">
        <v>0</v>
      </c>
      <c r="X187" s="128">
        <v>3</v>
      </c>
      <c r="Y187" s="131" t="str">
        <f ca="1">IF(ISBLANK(BudgetsTable[[#This Row],[budg_seq_yr]]),"FY"&amp;fiscalyear,"FY"&amp;fiscalyear-1+BudgetsTable[[#This Row],[budg_seq_yr]])</f>
        <v>FY20</v>
      </c>
      <c r="Z187" s="129">
        <v>500000</v>
      </c>
      <c r="AA187" s="128" t="s">
        <v>741</v>
      </c>
      <c r="AB187" s="128" t="s">
        <v>901</v>
      </c>
      <c r="AC187" s="126" t="s">
        <v>94</v>
      </c>
      <c r="AD187" s="128" t="s">
        <v>1968</v>
      </c>
    </row>
    <row r="188" spans="1:30">
      <c r="A188" s="125" t="s">
        <v>1233</v>
      </c>
      <c r="B188" s="126" t="s">
        <v>96</v>
      </c>
      <c r="C188" s="126">
        <f>C187+(BudgetsTable[[#This Row],[lead]]&lt;&gt;K187)</f>
        <v>38</v>
      </c>
      <c r="D188" s="126">
        <f>D187*(BudgetsTable[[#This Row],[lead]]=K187)+(BudgetsTable[[#This Row],[prop_id]]&lt;&gt;A187)</f>
        <v>1</v>
      </c>
      <c r="E188" s="127">
        <v>42809.651388888888</v>
      </c>
      <c r="F188" s="128" t="s">
        <v>1965</v>
      </c>
      <c r="G188" s="128" t="s">
        <v>741</v>
      </c>
      <c r="H188" s="128" t="s">
        <v>901</v>
      </c>
      <c r="I188" s="126" t="s">
        <v>543</v>
      </c>
      <c r="J188" s="126" t="s">
        <v>2201</v>
      </c>
      <c r="K188" s="128" t="s">
        <v>1233</v>
      </c>
      <c r="L188" s="7" t="str">
        <f>IF(BudgetsTable[[#This Row],[pi_last_name]]=" ","",HYPERLINK("https://www.ejacket.nsf.gov/ej/showProposal.do?Continue=Y&amp;ID="&amp;BudgetsTable[[#This Row],[prop_id]],BudgetsTable[[#This Row],[prop_id]]))</f>
        <v>1740803</v>
      </c>
      <c r="M188" s="15" t="str">
        <f>IF(BudgetsTable[[#This Row],[pi_last_name]]=" ","",HYPERLINK("https://www.ejacket.nsf.gov/ej/processReviewAnalysis.do?dispatch=add&amp;uniqId="&amp;BudgetsTable[[#This Row],[prop_id]]&amp;PO_id,"&gt;ra"))</f>
        <v>&gt;ra</v>
      </c>
      <c r="N188" s="128" t="s">
        <v>1234</v>
      </c>
      <c r="O188" s="7" t="str">
        <f>IF(BudgetsTable[[#This Row],[pi_last_name]]=" ","",HYPERLINK("mailto:"&amp;BudgetsTable[[#This Row],[pi_email]]&amp;"&amp;subject=Your NSF Proposal:  "&amp;BudgetsTable[[#This Row],[prop_id]],BudgetsTable[[#This Row],[pi_email]]))</f>
        <v>sayan@stat.duke.edu</v>
      </c>
      <c r="P188" s="128" t="s">
        <v>2198</v>
      </c>
      <c r="Q188" s="128"/>
      <c r="R188" s="128"/>
      <c r="S188" s="129"/>
      <c r="T188" s="129"/>
      <c r="U188" s="129"/>
      <c r="V188" s="130"/>
      <c r="W188" s="128">
        <v>0</v>
      </c>
      <c r="X188" s="128"/>
      <c r="Y188" s="131" t="str">
        <f ca="1">IF(ISBLANK(BudgetsTable[[#This Row],[budg_seq_yr]]),"FY"&amp;fiscalyear,"FY"&amp;fiscalyear-1+BudgetsTable[[#This Row],[budg_seq_yr]])</f>
        <v>FY18</v>
      </c>
      <c r="Z188" s="129">
        <v>1497550</v>
      </c>
      <c r="AA188" s="128" t="s">
        <v>741</v>
      </c>
      <c r="AB188" s="128" t="s">
        <v>901</v>
      </c>
      <c r="AC188" s="126" t="s">
        <v>94</v>
      </c>
      <c r="AD188" s="128" t="s">
        <v>1968</v>
      </c>
    </row>
    <row r="189" spans="1:30">
      <c r="A189" s="125" t="s">
        <v>1233</v>
      </c>
      <c r="B189" s="126" t="s">
        <v>96</v>
      </c>
      <c r="C189" s="126">
        <f>C188+(BudgetsTable[[#This Row],[lead]]&lt;&gt;K188)</f>
        <v>38</v>
      </c>
      <c r="D189" s="126">
        <f>D188*(BudgetsTable[[#This Row],[lead]]=K188)+(BudgetsTable[[#This Row],[prop_id]]&lt;&gt;A188)</f>
        <v>1</v>
      </c>
      <c r="E189" s="127">
        <v>42809.651388888888</v>
      </c>
      <c r="F189" s="128" t="s">
        <v>1965</v>
      </c>
      <c r="G189" s="128" t="s">
        <v>741</v>
      </c>
      <c r="H189" s="128" t="s">
        <v>901</v>
      </c>
      <c r="I189" s="126" t="s">
        <v>543</v>
      </c>
      <c r="J189" s="126" t="s">
        <v>13</v>
      </c>
      <c r="K189" s="128" t="s">
        <v>1233</v>
      </c>
      <c r="L189" s="7" t="str">
        <f>IF(BudgetsTable[[#This Row],[pi_last_name]]=" ","",HYPERLINK("https://www.ejacket.nsf.gov/ej/showProposal.do?Continue=Y&amp;ID="&amp;BudgetsTable[[#This Row],[prop_id]],BudgetsTable[[#This Row],[prop_id]]))</f>
        <v/>
      </c>
      <c r="M189" s="15" t="str">
        <f>IF(BudgetsTable[[#This Row],[pi_last_name]]=" ","",HYPERLINK("https://www.ejacket.nsf.gov/ej/processReviewAnalysis.do?dispatch=add&amp;uniqId="&amp;BudgetsTable[[#This Row],[prop_id]]&amp;PO_id,"&gt;ra"))</f>
        <v/>
      </c>
      <c r="N189" s="128" t="s">
        <v>13</v>
      </c>
      <c r="O189" s="7" t="str">
        <f>IF(BudgetsTable[[#This Row],[pi_last_name]]=" ","",HYPERLINK("mailto:"&amp;BudgetsTable[[#This Row],[pi_email]]&amp;"&amp;subject=Your NSF Proposal:  "&amp;BudgetsTable[[#This Row],[prop_id]],BudgetsTable[[#This Row],[pi_email]]))</f>
        <v/>
      </c>
      <c r="P189" s="128" t="s">
        <v>13</v>
      </c>
      <c r="Q189" s="128">
        <v>4</v>
      </c>
      <c r="R189" s="128">
        <v>1</v>
      </c>
      <c r="S189" s="129">
        <v>50796</v>
      </c>
      <c r="T189" s="129">
        <v>2000</v>
      </c>
      <c r="U189" s="129">
        <v>0</v>
      </c>
      <c r="V189" s="130">
        <v>499021</v>
      </c>
      <c r="W189" s="128">
        <v>0</v>
      </c>
      <c r="X189" s="128">
        <v>1</v>
      </c>
      <c r="Y189" s="131" t="str">
        <f ca="1">IF(ISBLANK(BudgetsTable[[#This Row],[budg_seq_yr]]),"FY"&amp;fiscalyear,"FY"&amp;fiscalyear-1+BudgetsTable[[#This Row],[budg_seq_yr]])</f>
        <v>FY18</v>
      </c>
      <c r="Z189" s="129">
        <v>499021</v>
      </c>
      <c r="AA189" s="128" t="s">
        <v>741</v>
      </c>
      <c r="AB189" s="128" t="s">
        <v>901</v>
      </c>
      <c r="AC189" s="126" t="s">
        <v>94</v>
      </c>
      <c r="AD189" s="128" t="s">
        <v>1968</v>
      </c>
    </row>
    <row r="190" spans="1:30">
      <c r="A190" s="125" t="s">
        <v>1233</v>
      </c>
      <c r="B190" s="126" t="s">
        <v>96</v>
      </c>
      <c r="C190" s="126">
        <f>C189+(BudgetsTable[[#This Row],[lead]]&lt;&gt;K189)</f>
        <v>38</v>
      </c>
      <c r="D190" s="126">
        <f>D189*(BudgetsTable[[#This Row],[lead]]=K189)+(BudgetsTable[[#This Row],[prop_id]]&lt;&gt;A189)</f>
        <v>1</v>
      </c>
      <c r="E190" s="127">
        <v>42809.651388888888</v>
      </c>
      <c r="F190" s="128" t="s">
        <v>1965</v>
      </c>
      <c r="G190" s="128" t="s">
        <v>741</v>
      </c>
      <c r="H190" s="128" t="s">
        <v>901</v>
      </c>
      <c r="I190" s="126" t="s">
        <v>543</v>
      </c>
      <c r="J190" s="126" t="s">
        <v>13</v>
      </c>
      <c r="K190" s="128" t="s">
        <v>1233</v>
      </c>
      <c r="L190" s="7" t="str">
        <f>IF(BudgetsTable[[#This Row],[pi_last_name]]=" ","",HYPERLINK("https://www.ejacket.nsf.gov/ej/showProposal.do?Continue=Y&amp;ID="&amp;BudgetsTable[[#This Row],[prop_id]],BudgetsTable[[#This Row],[prop_id]]))</f>
        <v/>
      </c>
      <c r="M190" s="15" t="str">
        <f>IF(BudgetsTable[[#This Row],[pi_last_name]]=" ","",HYPERLINK("https://www.ejacket.nsf.gov/ej/processReviewAnalysis.do?dispatch=add&amp;uniqId="&amp;BudgetsTable[[#This Row],[prop_id]]&amp;PO_id,"&gt;ra"))</f>
        <v/>
      </c>
      <c r="N190" s="128" t="s">
        <v>13</v>
      </c>
      <c r="O190" s="7" t="str">
        <f>IF(BudgetsTable[[#This Row],[pi_last_name]]=" ","",HYPERLINK("mailto:"&amp;BudgetsTable[[#This Row],[pi_email]]&amp;"&amp;subject=Your NSF Proposal:  "&amp;BudgetsTable[[#This Row],[prop_id]],BudgetsTable[[#This Row],[pi_email]]))</f>
        <v/>
      </c>
      <c r="P190" s="128" t="s">
        <v>13</v>
      </c>
      <c r="Q190" s="128">
        <v>4</v>
      </c>
      <c r="R190" s="128">
        <v>1</v>
      </c>
      <c r="S190" s="129">
        <v>96886</v>
      </c>
      <c r="T190" s="129">
        <v>0</v>
      </c>
      <c r="U190" s="129">
        <v>0</v>
      </c>
      <c r="V190" s="130">
        <v>499298</v>
      </c>
      <c r="W190" s="128">
        <v>0</v>
      </c>
      <c r="X190" s="128">
        <v>2</v>
      </c>
      <c r="Y190" s="131" t="str">
        <f ca="1">IF(ISBLANK(BudgetsTable[[#This Row],[budg_seq_yr]]),"FY"&amp;fiscalyear,"FY"&amp;fiscalyear-1+BudgetsTable[[#This Row],[budg_seq_yr]])</f>
        <v>FY19</v>
      </c>
      <c r="Z190" s="129">
        <v>499298</v>
      </c>
      <c r="AA190" s="128" t="s">
        <v>741</v>
      </c>
      <c r="AB190" s="128" t="s">
        <v>901</v>
      </c>
      <c r="AC190" s="126" t="s">
        <v>94</v>
      </c>
      <c r="AD190" s="128" t="s">
        <v>1968</v>
      </c>
    </row>
    <row r="191" spans="1:30">
      <c r="A191" s="125" t="s">
        <v>1233</v>
      </c>
      <c r="B191" s="126" t="s">
        <v>96</v>
      </c>
      <c r="C191" s="126">
        <f>C190+(BudgetsTable[[#This Row],[lead]]&lt;&gt;K190)</f>
        <v>38</v>
      </c>
      <c r="D191" s="126">
        <f>D190*(BudgetsTable[[#This Row],[lead]]=K190)+(BudgetsTable[[#This Row],[prop_id]]&lt;&gt;A190)</f>
        <v>1</v>
      </c>
      <c r="E191" s="127">
        <v>42809.651388888888</v>
      </c>
      <c r="F191" s="128" t="s">
        <v>1965</v>
      </c>
      <c r="G191" s="128" t="s">
        <v>741</v>
      </c>
      <c r="H191" s="128" t="s">
        <v>901</v>
      </c>
      <c r="I191" s="126" t="s">
        <v>543</v>
      </c>
      <c r="J191" s="126" t="s">
        <v>13</v>
      </c>
      <c r="K191" s="128" t="s">
        <v>1233</v>
      </c>
      <c r="L191" s="7" t="str">
        <f>IF(BudgetsTable[[#This Row],[pi_last_name]]=" ","",HYPERLINK("https://www.ejacket.nsf.gov/ej/showProposal.do?Continue=Y&amp;ID="&amp;BudgetsTable[[#This Row],[prop_id]],BudgetsTable[[#This Row],[prop_id]]))</f>
        <v/>
      </c>
      <c r="M191" s="15" t="str">
        <f>IF(BudgetsTable[[#This Row],[pi_last_name]]=" ","",HYPERLINK("https://www.ejacket.nsf.gov/ej/processReviewAnalysis.do?dispatch=add&amp;uniqId="&amp;BudgetsTable[[#This Row],[prop_id]]&amp;PO_id,"&gt;ra"))</f>
        <v/>
      </c>
      <c r="N191" s="128" t="s">
        <v>13</v>
      </c>
      <c r="O191" s="7" t="str">
        <f>IF(BudgetsTable[[#This Row],[pi_last_name]]=" ","",HYPERLINK("mailto:"&amp;BudgetsTable[[#This Row],[pi_email]]&amp;"&amp;subject=Your NSF Proposal:  "&amp;BudgetsTable[[#This Row],[prop_id]],BudgetsTable[[#This Row],[pi_email]]))</f>
        <v/>
      </c>
      <c r="P191" s="128" t="s">
        <v>13</v>
      </c>
      <c r="Q191" s="128">
        <v>4</v>
      </c>
      <c r="R191" s="128">
        <v>1</v>
      </c>
      <c r="S191" s="129">
        <v>80570</v>
      </c>
      <c r="T191" s="129">
        <v>0</v>
      </c>
      <c r="U191" s="129">
        <v>0</v>
      </c>
      <c r="V191" s="130">
        <v>499231</v>
      </c>
      <c r="W191" s="128">
        <v>0</v>
      </c>
      <c r="X191" s="128">
        <v>3</v>
      </c>
      <c r="Y191" s="131" t="str">
        <f ca="1">IF(ISBLANK(BudgetsTable[[#This Row],[budg_seq_yr]]),"FY"&amp;fiscalyear,"FY"&amp;fiscalyear-1+BudgetsTable[[#This Row],[budg_seq_yr]])</f>
        <v>FY20</v>
      </c>
      <c r="Z191" s="129">
        <v>499231</v>
      </c>
      <c r="AA191" s="128" t="s">
        <v>741</v>
      </c>
      <c r="AB191" s="128" t="s">
        <v>901</v>
      </c>
      <c r="AC191" s="126" t="s">
        <v>94</v>
      </c>
      <c r="AD191" s="128" t="s">
        <v>1968</v>
      </c>
    </row>
    <row r="192" spans="1:30">
      <c r="A192" s="125" t="s">
        <v>1241</v>
      </c>
      <c r="B192" s="126" t="s">
        <v>96</v>
      </c>
      <c r="C192" s="126">
        <f>C191+(BudgetsTable[[#This Row],[lead]]&lt;&gt;K191)</f>
        <v>39</v>
      </c>
      <c r="D192" s="126">
        <f>D191*(BudgetsTable[[#This Row],[lead]]=K191)+(BudgetsTable[[#This Row],[prop_id]]&lt;&gt;A191)</f>
        <v>1</v>
      </c>
      <c r="E192" s="127">
        <v>42809.654166666667</v>
      </c>
      <c r="F192" s="128" t="s">
        <v>1965</v>
      </c>
      <c r="G192" s="128" t="s">
        <v>741</v>
      </c>
      <c r="H192" s="128" t="s">
        <v>901</v>
      </c>
      <c r="I192" s="126" t="s">
        <v>942</v>
      </c>
      <c r="J192" s="126" t="s">
        <v>2206</v>
      </c>
      <c r="K192" s="128" t="s">
        <v>1241</v>
      </c>
      <c r="L192" s="7" t="str">
        <f>IF(BudgetsTable[[#This Row],[pi_last_name]]=" ","",HYPERLINK("https://www.ejacket.nsf.gov/ej/showProposal.do?Continue=Y&amp;ID="&amp;BudgetsTable[[#This Row],[prop_id]],BudgetsTable[[#This Row],[prop_id]]))</f>
        <v>1740805</v>
      </c>
      <c r="M192" s="15" t="str">
        <f>IF(BudgetsTable[[#This Row],[pi_last_name]]=" ","",HYPERLINK("https://www.ejacket.nsf.gov/ej/processReviewAnalysis.do?dispatch=add&amp;uniqId="&amp;BudgetsTable[[#This Row],[prop_id]]&amp;PO_id,"&gt;ra"))</f>
        <v>&gt;ra</v>
      </c>
      <c r="N192" s="128" t="s">
        <v>1242</v>
      </c>
      <c r="O192" s="7" t="str">
        <f>IF(BudgetsTable[[#This Row],[pi_last_name]]=" ","",HYPERLINK("mailto:"&amp;BudgetsTable[[#This Row],[pi_email]]&amp;"&amp;subject=Your NSF Proposal:  "&amp;BudgetsTable[[#This Row],[prop_id]],BudgetsTable[[#This Row],[pi_email]]))</f>
        <v>brendan.mumey@montana.edu</v>
      </c>
      <c r="P192" s="128" t="s">
        <v>2203</v>
      </c>
      <c r="Q192" s="128"/>
      <c r="R192" s="128"/>
      <c r="S192" s="129"/>
      <c r="T192" s="129"/>
      <c r="U192" s="129"/>
      <c r="V192" s="130"/>
      <c r="W192" s="128">
        <v>1</v>
      </c>
      <c r="X192" s="128"/>
      <c r="Y192" s="131" t="str">
        <f ca="1">IF(ISBLANK(BudgetsTable[[#This Row],[budg_seq_yr]]),"FY"&amp;fiscalyear,"FY"&amp;fiscalyear-1+BudgetsTable[[#This Row],[budg_seq_yr]])</f>
        <v>FY18</v>
      </c>
      <c r="Z192" s="129">
        <v>1530172</v>
      </c>
      <c r="AA192" s="128" t="s">
        <v>741</v>
      </c>
      <c r="AB192" s="128" t="s">
        <v>901</v>
      </c>
      <c r="AC192" s="126" t="s">
        <v>94</v>
      </c>
      <c r="AD192" s="128" t="s">
        <v>1995</v>
      </c>
    </row>
    <row r="193" spans="1:30">
      <c r="A193" s="125" t="s">
        <v>1241</v>
      </c>
      <c r="B193" s="126" t="s">
        <v>96</v>
      </c>
      <c r="C193" s="126">
        <f>C192+(BudgetsTable[[#This Row],[lead]]&lt;&gt;K192)</f>
        <v>39</v>
      </c>
      <c r="D193" s="126">
        <f>D192*(BudgetsTable[[#This Row],[lead]]=K192)+(BudgetsTable[[#This Row],[prop_id]]&lt;&gt;A192)</f>
        <v>1</v>
      </c>
      <c r="E193" s="127">
        <v>42809.654166666667</v>
      </c>
      <c r="F193" s="128" t="s">
        <v>1965</v>
      </c>
      <c r="G193" s="128" t="s">
        <v>741</v>
      </c>
      <c r="H193" s="128" t="s">
        <v>901</v>
      </c>
      <c r="I193" s="126" t="s">
        <v>942</v>
      </c>
      <c r="J193" s="126" t="s">
        <v>13</v>
      </c>
      <c r="K193" s="128" t="s">
        <v>1241</v>
      </c>
      <c r="L193" s="7" t="str">
        <f>IF(BudgetsTable[[#This Row],[pi_last_name]]=" ","",HYPERLINK("https://www.ejacket.nsf.gov/ej/showProposal.do?Continue=Y&amp;ID="&amp;BudgetsTable[[#This Row],[prop_id]],BudgetsTable[[#This Row],[prop_id]]))</f>
        <v/>
      </c>
      <c r="M193" s="15" t="str">
        <f>IF(BudgetsTable[[#This Row],[pi_last_name]]=" ","",HYPERLINK("https://www.ejacket.nsf.gov/ej/processReviewAnalysis.do?dispatch=add&amp;uniqId="&amp;BudgetsTable[[#This Row],[prop_id]]&amp;PO_id,"&gt;ra"))</f>
        <v/>
      </c>
      <c r="N193" s="128" t="s">
        <v>13</v>
      </c>
      <c r="O193" s="7" t="str">
        <f>IF(BudgetsTable[[#This Row],[pi_last_name]]=" ","",HYPERLINK("mailto:"&amp;BudgetsTable[[#This Row],[pi_email]]&amp;"&amp;subject=Your NSF Proposal:  "&amp;BudgetsTable[[#This Row],[prop_id]],BudgetsTable[[#This Row],[pi_email]]))</f>
        <v/>
      </c>
      <c r="P193" s="128" t="s">
        <v>13</v>
      </c>
      <c r="Q193" s="128">
        <v>5</v>
      </c>
      <c r="R193" s="128">
        <v>0</v>
      </c>
      <c r="S193" s="129">
        <v>35000</v>
      </c>
      <c r="T193" s="129">
        <v>3000</v>
      </c>
      <c r="U193" s="129">
        <v>54800</v>
      </c>
      <c r="V193" s="130">
        <v>530680</v>
      </c>
      <c r="W193" s="128">
        <v>1</v>
      </c>
      <c r="X193" s="128">
        <v>1</v>
      </c>
      <c r="Y193" s="131" t="str">
        <f ca="1">IF(ISBLANK(BudgetsTable[[#This Row],[budg_seq_yr]]),"FY"&amp;fiscalyear,"FY"&amp;fiscalyear-1+BudgetsTable[[#This Row],[budg_seq_yr]])</f>
        <v>FY18</v>
      </c>
      <c r="Z193" s="129">
        <v>530680</v>
      </c>
      <c r="AA193" s="128" t="s">
        <v>741</v>
      </c>
      <c r="AB193" s="128" t="s">
        <v>901</v>
      </c>
      <c r="AC193" s="126" t="s">
        <v>94</v>
      </c>
      <c r="AD193" s="128" t="s">
        <v>1995</v>
      </c>
    </row>
    <row r="194" spans="1:30">
      <c r="A194" s="125" t="s">
        <v>1241</v>
      </c>
      <c r="B194" s="126" t="s">
        <v>96</v>
      </c>
      <c r="C194" s="126">
        <f>C193+(BudgetsTable[[#This Row],[lead]]&lt;&gt;K193)</f>
        <v>39</v>
      </c>
      <c r="D194" s="126">
        <f>D193*(BudgetsTable[[#This Row],[lead]]=K193)+(BudgetsTable[[#This Row],[prop_id]]&lt;&gt;A193)</f>
        <v>1</v>
      </c>
      <c r="E194" s="127">
        <v>42809.654166666667</v>
      </c>
      <c r="F194" s="128" t="s">
        <v>1965</v>
      </c>
      <c r="G194" s="128" t="s">
        <v>741</v>
      </c>
      <c r="H194" s="128" t="s">
        <v>901</v>
      </c>
      <c r="I194" s="126" t="s">
        <v>942</v>
      </c>
      <c r="J194" s="126" t="s">
        <v>13</v>
      </c>
      <c r="K194" s="128" t="s">
        <v>1241</v>
      </c>
      <c r="L194" s="7" t="str">
        <f>IF(BudgetsTable[[#This Row],[pi_last_name]]=" ","",HYPERLINK("https://www.ejacket.nsf.gov/ej/showProposal.do?Continue=Y&amp;ID="&amp;BudgetsTable[[#This Row],[prop_id]],BudgetsTable[[#This Row],[prop_id]]))</f>
        <v/>
      </c>
      <c r="M194" s="15" t="str">
        <f>IF(BudgetsTable[[#This Row],[pi_last_name]]=" ","",HYPERLINK("https://www.ejacket.nsf.gov/ej/processReviewAnalysis.do?dispatch=add&amp;uniqId="&amp;BudgetsTable[[#This Row],[prop_id]]&amp;PO_id,"&gt;ra"))</f>
        <v/>
      </c>
      <c r="N194" s="128" t="s">
        <v>13</v>
      </c>
      <c r="O194" s="7" t="str">
        <f>IF(BudgetsTable[[#This Row],[pi_last_name]]=" ","",HYPERLINK("mailto:"&amp;BudgetsTable[[#This Row],[pi_email]]&amp;"&amp;subject=Your NSF Proposal:  "&amp;BudgetsTable[[#This Row],[prop_id]],BudgetsTable[[#This Row],[pi_email]]))</f>
        <v/>
      </c>
      <c r="P194" s="128" t="s">
        <v>13</v>
      </c>
      <c r="Q194" s="128">
        <v>5</v>
      </c>
      <c r="R194" s="128">
        <v>0</v>
      </c>
      <c r="S194" s="129">
        <v>55000</v>
      </c>
      <c r="T194" s="129">
        <v>3000</v>
      </c>
      <c r="U194" s="129">
        <v>23800</v>
      </c>
      <c r="V194" s="130">
        <v>499510</v>
      </c>
      <c r="W194" s="128">
        <v>1</v>
      </c>
      <c r="X194" s="128">
        <v>2</v>
      </c>
      <c r="Y194" s="131" t="str">
        <f ca="1">IF(ISBLANK(BudgetsTable[[#This Row],[budg_seq_yr]]),"FY"&amp;fiscalyear,"FY"&amp;fiscalyear-1+BudgetsTable[[#This Row],[budg_seq_yr]])</f>
        <v>FY19</v>
      </c>
      <c r="Z194" s="129">
        <v>499510</v>
      </c>
      <c r="AA194" s="128" t="s">
        <v>741</v>
      </c>
      <c r="AB194" s="128" t="s">
        <v>901</v>
      </c>
      <c r="AC194" s="126" t="s">
        <v>94</v>
      </c>
      <c r="AD194" s="128" t="s">
        <v>1995</v>
      </c>
    </row>
    <row r="195" spans="1:30">
      <c r="A195" s="125" t="s">
        <v>1241</v>
      </c>
      <c r="B195" s="126" t="s">
        <v>96</v>
      </c>
      <c r="C195" s="126">
        <f>C194+(BudgetsTable[[#This Row],[lead]]&lt;&gt;K194)</f>
        <v>39</v>
      </c>
      <c r="D195" s="126">
        <f>D194*(BudgetsTable[[#This Row],[lead]]=K194)+(BudgetsTable[[#This Row],[prop_id]]&lt;&gt;A194)</f>
        <v>1</v>
      </c>
      <c r="E195" s="127">
        <v>42809.654166666667</v>
      </c>
      <c r="F195" s="128" t="s">
        <v>1965</v>
      </c>
      <c r="G195" s="128" t="s">
        <v>741</v>
      </c>
      <c r="H195" s="128" t="s">
        <v>901</v>
      </c>
      <c r="I195" s="126" t="s">
        <v>942</v>
      </c>
      <c r="J195" s="126" t="s">
        <v>13</v>
      </c>
      <c r="K195" s="128" t="s">
        <v>1241</v>
      </c>
      <c r="L195" s="7" t="str">
        <f>IF(BudgetsTable[[#This Row],[pi_last_name]]=" ","",HYPERLINK("https://www.ejacket.nsf.gov/ej/showProposal.do?Continue=Y&amp;ID="&amp;BudgetsTable[[#This Row],[prop_id]],BudgetsTable[[#This Row],[prop_id]]))</f>
        <v/>
      </c>
      <c r="M195" s="15" t="str">
        <f>IF(BudgetsTable[[#This Row],[pi_last_name]]=" ","",HYPERLINK("https://www.ejacket.nsf.gov/ej/processReviewAnalysis.do?dispatch=add&amp;uniqId="&amp;BudgetsTable[[#This Row],[prop_id]]&amp;PO_id,"&gt;ra"))</f>
        <v/>
      </c>
      <c r="N195" s="128" t="s">
        <v>13</v>
      </c>
      <c r="O195" s="7" t="str">
        <f>IF(BudgetsTable[[#This Row],[pi_last_name]]=" ","",HYPERLINK("mailto:"&amp;BudgetsTable[[#This Row],[pi_email]]&amp;"&amp;subject=Your NSF Proposal:  "&amp;BudgetsTable[[#This Row],[prop_id]],BudgetsTable[[#This Row],[pi_email]]))</f>
        <v/>
      </c>
      <c r="P195" s="128" t="s">
        <v>13</v>
      </c>
      <c r="Q195" s="128">
        <v>5</v>
      </c>
      <c r="R195" s="128">
        <v>0</v>
      </c>
      <c r="S195" s="129">
        <v>55000</v>
      </c>
      <c r="T195" s="129">
        <v>3000</v>
      </c>
      <c r="U195" s="129">
        <v>23800</v>
      </c>
      <c r="V195" s="130">
        <v>499982</v>
      </c>
      <c r="W195" s="128">
        <v>1</v>
      </c>
      <c r="X195" s="128">
        <v>3</v>
      </c>
      <c r="Y195" s="131" t="str">
        <f ca="1">IF(ISBLANK(BudgetsTable[[#This Row],[budg_seq_yr]]),"FY"&amp;fiscalyear,"FY"&amp;fiscalyear-1+BudgetsTable[[#This Row],[budg_seq_yr]])</f>
        <v>FY20</v>
      </c>
      <c r="Z195" s="129">
        <v>499982</v>
      </c>
      <c r="AA195" s="128" t="s">
        <v>741</v>
      </c>
      <c r="AB195" s="128" t="s">
        <v>901</v>
      </c>
      <c r="AC195" s="126" t="s">
        <v>94</v>
      </c>
      <c r="AD195" s="128" t="s">
        <v>1995</v>
      </c>
    </row>
    <row r="196" spans="1:30">
      <c r="A196" s="125" t="s">
        <v>1248</v>
      </c>
      <c r="B196" s="126" t="s">
        <v>96</v>
      </c>
      <c r="C196" s="126">
        <f>C195+(BudgetsTable[[#This Row],[lead]]&lt;&gt;K195)</f>
        <v>40</v>
      </c>
      <c r="D196" s="126">
        <f>D195*(BudgetsTable[[#This Row],[lead]]=K195)+(BudgetsTable[[#This Row],[prop_id]]&lt;&gt;A195)</f>
        <v>1</v>
      </c>
      <c r="E196" s="127">
        <v>42809.65902777778</v>
      </c>
      <c r="F196" s="128" t="s">
        <v>1965</v>
      </c>
      <c r="G196" s="128" t="s">
        <v>741</v>
      </c>
      <c r="H196" s="128" t="s">
        <v>901</v>
      </c>
      <c r="I196" s="126" t="s">
        <v>540</v>
      </c>
      <c r="J196" s="126" t="s">
        <v>2211</v>
      </c>
      <c r="K196" s="128" t="s">
        <v>1248</v>
      </c>
      <c r="L196" s="7" t="str">
        <f>IF(BudgetsTable[[#This Row],[pi_last_name]]=" ","",HYPERLINK("https://www.ejacket.nsf.gov/ej/showProposal.do?Continue=Y&amp;ID="&amp;BudgetsTable[[#This Row],[prop_id]],BudgetsTable[[#This Row],[prop_id]]))</f>
        <v>1740807</v>
      </c>
      <c r="M196" s="15" t="str">
        <f>IF(BudgetsTable[[#This Row],[pi_last_name]]=" ","",HYPERLINK("https://www.ejacket.nsf.gov/ej/processReviewAnalysis.do?dispatch=add&amp;uniqId="&amp;BudgetsTable[[#This Row],[prop_id]]&amp;PO_id,"&gt;ra"))</f>
        <v>&gt;ra</v>
      </c>
      <c r="N196" s="128" t="s">
        <v>1249</v>
      </c>
      <c r="O196" s="7" t="str">
        <f>IF(BudgetsTable[[#This Row],[pi_last_name]]=" ","",HYPERLINK("mailto:"&amp;BudgetsTable[[#This Row],[pi_email]]&amp;"&amp;subject=Your NSF Proposal:  "&amp;BudgetsTable[[#This Row],[prop_id]],BudgetsTable[[#This Row],[pi_email]]))</f>
        <v>eabbe@princeton.edu</v>
      </c>
      <c r="P196" s="128" t="s">
        <v>2209</v>
      </c>
      <c r="Q196" s="128"/>
      <c r="R196" s="128"/>
      <c r="S196" s="129"/>
      <c r="T196" s="129"/>
      <c r="U196" s="129"/>
      <c r="V196" s="130"/>
      <c r="W196" s="128">
        <v>0</v>
      </c>
      <c r="X196" s="128"/>
      <c r="Y196" s="131" t="str">
        <f ca="1">IF(ISBLANK(BudgetsTable[[#This Row],[budg_seq_yr]]),"FY"&amp;fiscalyear,"FY"&amp;fiscalyear-1+BudgetsTable[[#This Row],[budg_seq_yr]])</f>
        <v>FY18</v>
      </c>
      <c r="Z196" s="129">
        <v>1500000</v>
      </c>
      <c r="AA196" s="128" t="s">
        <v>741</v>
      </c>
      <c r="AB196" s="128" t="s">
        <v>901</v>
      </c>
      <c r="AC196" s="126" t="s">
        <v>94</v>
      </c>
      <c r="AD196" s="128" t="s">
        <v>1968</v>
      </c>
    </row>
    <row r="197" spans="1:30">
      <c r="A197" s="125" t="s">
        <v>1248</v>
      </c>
      <c r="B197" s="126" t="s">
        <v>96</v>
      </c>
      <c r="C197" s="126">
        <f>C196+(BudgetsTable[[#This Row],[lead]]&lt;&gt;K196)</f>
        <v>40</v>
      </c>
      <c r="D197" s="126">
        <f>D196*(BudgetsTable[[#This Row],[lead]]=K196)+(BudgetsTable[[#This Row],[prop_id]]&lt;&gt;A196)</f>
        <v>1</v>
      </c>
      <c r="E197" s="127">
        <v>42809.65902777778</v>
      </c>
      <c r="F197" s="128" t="s">
        <v>1965</v>
      </c>
      <c r="G197" s="128" t="s">
        <v>741</v>
      </c>
      <c r="H197" s="128" t="s">
        <v>901</v>
      </c>
      <c r="I197" s="126" t="s">
        <v>540</v>
      </c>
      <c r="J197" s="126" t="s">
        <v>13</v>
      </c>
      <c r="K197" s="128" t="s">
        <v>1248</v>
      </c>
      <c r="L197" s="7" t="str">
        <f>IF(BudgetsTable[[#This Row],[pi_last_name]]=" ","",HYPERLINK("https://www.ejacket.nsf.gov/ej/showProposal.do?Continue=Y&amp;ID="&amp;BudgetsTable[[#This Row],[prop_id]],BudgetsTable[[#This Row],[prop_id]]))</f>
        <v/>
      </c>
      <c r="M197" s="15" t="str">
        <f>IF(BudgetsTable[[#This Row],[pi_last_name]]=" ","",HYPERLINK("https://www.ejacket.nsf.gov/ej/processReviewAnalysis.do?dispatch=add&amp;uniqId="&amp;BudgetsTable[[#This Row],[prop_id]]&amp;PO_id,"&gt;ra"))</f>
        <v/>
      </c>
      <c r="N197" s="128" t="s">
        <v>13</v>
      </c>
      <c r="O197" s="7" t="str">
        <f>IF(BudgetsTable[[#This Row],[pi_last_name]]=" ","",HYPERLINK("mailto:"&amp;BudgetsTable[[#This Row],[pi_email]]&amp;"&amp;subject=Your NSF Proposal:  "&amp;BudgetsTable[[#This Row],[prop_id]],BudgetsTable[[#This Row],[pi_email]]))</f>
        <v/>
      </c>
      <c r="P197" s="128" t="s">
        <v>13</v>
      </c>
      <c r="Q197" s="128">
        <v>0</v>
      </c>
      <c r="R197" s="128">
        <v>0</v>
      </c>
      <c r="S197" s="129">
        <v>110000</v>
      </c>
      <c r="T197" s="129">
        <v>10000</v>
      </c>
      <c r="U197" s="129">
        <v>0</v>
      </c>
      <c r="V197" s="130">
        <v>500000</v>
      </c>
      <c r="W197" s="128">
        <v>0</v>
      </c>
      <c r="X197" s="128">
        <v>1</v>
      </c>
      <c r="Y197" s="131" t="str">
        <f ca="1">IF(ISBLANK(BudgetsTable[[#This Row],[budg_seq_yr]]),"FY"&amp;fiscalyear,"FY"&amp;fiscalyear-1+BudgetsTable[[#This Row],[budg_seq_yr]])</f>
        <v>FY18</v>
      </c>
      <c r="Z197" s="129">
        <v>500000</v>
      </c>
      <c r="AA197" s="128" t="s">
        <v>741</v>
      </c>
      <c r="AB197" s="128" t="s">
        <v>901</v>
      </c>
      <c r="AC197" s="126" t="s">
        <v>94</v>
      </c>
      <c r="AD197" s="128" t="s">
        <v>1968</v>
      </c>
    </row>
    <row r="198" spans="1:30">
      <c r="A198" s="125" t="s">
        <v>1248</v>
      </c>
      <c r="B198" s="126" t="s">
        <v>96</v>
      </c>
      <c r="C198" s="126">
        <f>C197+(BudgetsTable[[#This Row],[lead]]&lt;&gt;K197)</f>
        <v>40</v>
      </c>
      <c r="D198" s="126">
        <f>D197*(BudgetsTable[[#This Row],[lead]]=K197)+(BudgetsTable[[#This Row],[prop_id]]&lt;&gt;A197)</f>
        <v>1</v>
      </c>
      <c r="E198" s="127">
        <v>42809.65902777778</v>
      </c>
      <c r="F198" s="128" t="s">
        <v>1965</v>
      </c>
      <c r="G198" s="128" t="s">
        <v>741</v>
      </c>
      <c r="H198" s="128" t="s">
        <v>901</v>
      </c>
      <c r="I198" s="126" t="s">
        <v>540</v>
      </c>
      <c r="J198" s="126" t="s">
        <v>13</v>
      </c>
      <c r="K198" s="128" t="s">
        <v>1248</v>
      </c>
      <c r="L198" s="7" t="str">
        <f>IF(BudgetsTable[[#This Row],[pi_last_name]]=" ","",HYPERLINK("https://www.ejacket.nsf.gov/ej/showProposal.do?Continue=Y&amp;ID="&amp;BudgetsTable[[#This Row],[prop_id]],BudgetsTable[[#This Row],[prop_id]]))</f>
        <v/>
      </c>
      <c r="M198" s="15" t="str">
        <f>IF(BudgetsTable[[#This Row],[pi_last_name]]=" ","",HYPERLINK("https://www.ejacket.nsf.gov/ej/processReviewAnalysis.do?dispatch=add&amp;uniqId="&amp;BudgetsTable[[#This Row],[prop_id]]&amp;PO_id,"&gt;ra"))</f>
        <v/>
      </c>
      <c r="N198" s="128" t="s">
        <v>13</v>
      </c>
      <c r="O198" s="7" t="str">
        <f>IF(BudgetsTable[[#This Row],[pi_last_name]]=" ","",HYPERLINK("mailto:"&amp;BudgetsTable[[#This Row],[pi_email]]&amp;"&amp;subject=Your NSF Proposal:  "&amp;BudgetsTable[[#This Row],[prop_id]],BudgetsTable[[#This Row],[pi_email]]))</f>
        <v/>
      </c>
      <c r="P198" s="128" t="s">
        <v>13</v>
      </c>
      <c r="Q198" s="128">
        <v>0</v>
      </c>
      <c r="R198" s="128">
        <v>0</v>
      </c>
      <c r="S198" s="129">
        <v>113300</v>
      </c>
      <c r="T198" s="129">
        <v>7756</v>
      </c>
      <c r="U198" s="129">
        <v>0</v>
      </c>
      <c r="V198" s="130">
        <v>500000</v>
      </c>
      <c r="W198" s="128">
        <v>0</v>
      </c>
      <c r="X198" s="128">
        <v>2</v>
      </c>
      <c r="Y198" s="131" t="str">
        <f ca="1">IF(ISBLANK(BudgetsTable[[#This Row],[budg_seq_yr]]),"FY"&amp;fiscalyear,"FY"&amp;fiscalyear-1+BudgetsTable[[#This Row],[budg_seq_yr]])</f>
        <v>FY19</v>
      </c>
      <c r="Z198" s="129">
        <v>500000</v>
      </c>
      <c r="AA198" s="128" t="s">
        <v>741</v>
      </c>
      <c r="AB198" s="128" t="s">
        <v>901</v>
      </c>
      <c r="AC198" s="126" t="s">
        <v>94</v>
      </c>
      <c r="AD198" s="128" t="s">
        <v>1968</v>
      </c>
    </row>
    <row r="199" spans="1:30">
      <c r="A199" s="125" t="s">
        <v>1248</v>
      </c>
      <c r="B199" s="126" t="s">
        <v>96</v>
      </c>
      <c r="C199" s="126">
        <f>C198+(BudgetsTable[[#This Row],[lead]]&lt;&gt;K198)</f>
        <v>40</v>
      </c>
      <c r="D199" s="126">
        <f>D198*(BudgetsTable[[#This Row],[lead]]=K198)+(BudgetsTable[[#This Row],[prop_id]]&lt;&gt;A198)</f>
        <v>1</v>
      </c>
      <c r="E199" s="127">
        <v>42809.65902777778</v>
      </c>
      <c r="F199" s="128" t="s">
        <v>1965</v>
      </c>
      <c r="G199" s="128" t="s">
        <v>741</v>
      </c>
      <c r="H199" s="128" t="s">
        <v>901</v>
      </c>
      <c r="I199" s="126" t="s">
        <v>540</v>
      </c>
      <c r="J199" s="126" t="s">
        <v>13</v>
      </c>
      <c r="K199" s="128" t="s">
        <v>1248</v>
      </c>
      <c r="L199" s="7" t="str">
        <f>IF(BudgetsTable[[#This Row],[pi_last_name]]=" ","",HYPERLINK("https://www.ejacket.nsf.gov/ej/showProposal.do?Continue=Y&amp;ID="&amp;BudgetsTable[[#This Row],[prop_id]],BudgetsTable[[#This Row],[prop_id]]))</f>
        <v/>
      </c>
      <c r="M199" s="15" t="str">
        <f>IF(BudgetsTable[[#This Row],[pi_last_name]]=" ","",HYPERLINK("https://www.ejacket.nsf.gov/ej/processReviewAnalysis.do?dispatch=add&amp;uniqId="&amp;BudgetsTable[[#This Row],[prop_id]]&amp;PO_id,"&gt;ra"))</f>
        <v/>
      </c>
      <c r="N199" s="128" t="s">
        <v>13</v>
      </c>
      <c r="O199" s="7" t="str">
        <f>IF(BudgetsTable[[#This Row],[pi_last_name]]=" ","",HYPERLINK("mailto:"&amp;BudgetsTable[[#This Row],[pi_email]]&amp;"&amp;subject=Your NSF Proposal:  "&amp;BudgetsTable[[#This Row],[prop_id]],BudgetsTable[[#This Row],[pi_email]]))</f>
        <v/>
      </c>
      <c r="P199" s="128" t="s">
        <v>13</v>
      </c>
      <c r="Q199" s="128">
        <v>0</v>
      </c>
      <c r="R199" s="128">
        <v>0</v>
      </c>
      <c r="S199" s="129">
        <v>116699</v>
      </c>
      <c r="T199" s="129">
        <v>4528</v>
      </c>
      <c r="U199" s="129">
        <v>0</v>
      </c>
      <c r="V199" s="130">
        <v>500000</v>
      </c>
      <c r="W199" s="128">
        <v>0</v>
      </c>
      <c r="X199" s="128">
        <v>3</v>
      </c>
      <c r="Y199" s="131" t="str">
        <f ca="1">IF(ISBLANK(BudgetsTable[[#This Row],[budg_seq_yr]]),"FY"&amp;fiscalyear,"FY"&amp;fiscalyear-1+BudgetsTable[[#This Row],[budg_seq_yr]])</f>
        <v>FY20</v>
      </c>
      <c r="Z199" s="129">
        <v>500000</v>
      </c>
      <c r="AA199" s="128" t="s">
        <v>741</v>
      </c>
      <c r="AB199" s="128" t="s">
        <v>901</v>
      </c>
      <c r="AC199" s="126" t="s">
        <v>94</v>
      </c>
      <c r="AD199" s="128" t="s">
        <v>1968</v>
      </c>
    </row>
    <row r="200" spans="1:30">
      <c r="A200" s="125" t="s">
        <v>1256</v>
      </c>
      <c r="B200" s="126" t="s">
        <v>96</v>
      </c>
      <c r="C200" s="126">
        <f>C199+(BudgetsTable[[#This Row],[lead]]&lt;&gt;K199)</f>
        <v>41</v>
      </c>
      <c r="D200" s="126">
        <f>D199*(BudgetsTable[[#This Row],[lead]]=K199)+(BudgetsTable[[#This Row],[prop_id]]&lt;&gt;A199)</f>
        <v>1</v>
      </c>
      <c r="E200" s="127">
        <v>42809.661111111112</v>
      </c>
      <c r="F200" s="128" t="s">
        <v>1965</v>
      </c>
      <c r="G200" s="128" t="s">
        <v>741</v>
      </c>
      <c r="H200" s="128" t="s">
        <v>901</v>
      </c>
      <c r="I200" s="126" t="s">
        <v>948</v>
      </c>
      <c r="J200" s="126" t="s">
        <v>2216</v>
      </c>
      <c r="K200" s="128" t="s">
        <v>1256</v>
      </c>
      <c r="L200" s="7" t="str">
        <f>IF(BudgetsTable[[#This Row],[pi_last_name]]=" ","",HYPERLINK("https://www.ejacket.nsf.gov/ej/showProposal.do?Continue=Y&amp;ID="&amp;BudgetsTable[[#This Row],[prop_id]],BudgetsTable[[#This Row],[prop_id]]))</f>
        <v>1740808</v>
      </c>
      <c r="M200" s="15" t="str">
        <f>IF(BudgetsTable[[#This Row],[pi_last_name]]=" ","",HYPERLINK("https://www.ejacket.nsf.gov/ej/processReviewAnalysis.do?dispatch=add&amp;uniqId="&amp;BudgetsTable[[#This Row],[prop_id]]&amp;PO_id,"&gt;ra"))</f>
        <v>&gt;ra</v>
      </c>
      <c r="N200" s="128" t="s">
        <v>1257</v>
      </c>
      <c r="O200" s="7" t="str">
        <f>IF(BudgetsTable[[#This Row],[pi_last_name]]=" ","",HYPERLINK("mailto:"&amp;BudgetsTable[[#This Row],[pi_email]]&amp;"&amp;subject=Your NSF Proposal:  "&amp;BudgetsTable[[#This Row],[prop_id]],BudgetsTable[[#This Row],[pi_email]]))</f>
        <v>lerman@umn.edu</v>
      </c>
      <c r="P200" s="128" t="s">
        <v>2214</v>
      </c>
      <c r="Q200" s="128"/>
      <c r="R200" s="128"/>
      <c r="S200" s="129"/>
      <c r="T200" s="129"/>
      <c r="U200" s="129"/>
      <c r="V200" s="130"/>
      <c r="W200" s="128">
        <v>0</v>
      </c>
      <c r="X200" s="128"/>
      <c r="Y200" s="131" t="str">
        <f ca="1">IF(ISBLANK(BudgetsTable[[#This Row],[budg_seq_yr]]),"FY"&amp;fiscalyear,"FY"&amp;fiscalyear-1+BudgetsTable[[#This Row],[budg_seq_yr]])</f>
        <v>FY18</v>
      </c>
      <c r="Z200" s="129">
        <v>1500000</v>
      </c>
      <c r="AA200" s="128" t="s">
        <v>741</v>
      </c>
      <c r="AB200" s="128" t="s">
        <v>901</v>
      </c>
      <c r="AC200" s="126" t="s">
        <v>94</v>
      </c>
      <c r="AD200" s="128" t="s">
        <v>2007</v>
      </c>
    </row>
    <row r="201" spans="1:30">
      <c r="A201" s="125" t="s">
        <v>1256</v>
      </c>
      <c r="B201" s="126" t="s">
        <v>96</v>
      </c>
      <c r="C201" s="126">
        <f>C200+(BudgetsTable[[#This Row],[lead]]&lt;&gt;K200)</f>
        <v>41</v>
      </c>
      <c r="D201" s="126">
        <f>D200*(BudgetsTable[[#This Row],[lead]]=K200)+(BudgetsTable[[#This Row],[prop_id]]&lt;&gt;A200)</f>
        <v>1</v>
      </c>
      <c r="E201" s="127">
        <v>42809.661111111112</v>
      </c>
      <c r="F201" s="128" t="s">
        <v>1965</v>
      </c>
      <c r="G201" s="128" t="s">
        <v>741</v>
      </c>
      <c r="H201" s="128" t="s">
        <v>901</v>
      </c>
      <c r="I201" s="126" t="s">
        <v>948</v>
      </c>
      <c r="J201" s="126" t="s">
        <v>13</v>
      </c>
      <c r="K201" s="128" t="s">
        <v>1256</v>
      </c>
      <c r="L201" s="7" t="str">
        <f>IF(BudgetsTable[[#This Row],[pi_last_name]]=" ","",HYPERLINK("https://www.ejacket.nsf.gov/ej/showProposal.do?Continue=Y&amp;ID="&amp;BudgetsTable[[#This Row],[prop_id]],BudgetsTable[[#This Row],[prop_id]]))</f>
        <v/>
      </c>
      <c r="M201" s="15" t="str">
        <f>IF(BudgetsTable[[#This Row],[pi_last_name]]=" ","",HYPERLINK("https://www.ejacket.nsf.gov/ej/processReviewAnalysis.do?dispatch=add&amp;uniqId="&amp;BudgetsTable[[#This Row],[prop_id]]&amp;PO_id,"&gt;ra"))</f>
        <v/>
      </c>
      <c r="N201" s="128" t="s">
        <v>13</v>
      </c>
      <c r="O201" s="7" t="str">
        <f>IF(BudgetsTable[[#This Row],[pi_last_name]]=" ","",HYPERLINK("mailto:"&amp;BudgetsTable[[#This Row],[pi_email]]&amp;"&amp;subject=Your NSF Proposal:  "&amp;BudgetsTable[[#This Row],[prop_id]],BudgetsTable[[#This Row],[pi_email]]))</f>
        <v/>
      </c>
      <c r="P201" s="128" t="s">
        <v>13</v>
      </c>
      <c r="Q201" s="128">
        <v>5</v>
      </c>
      <c r="R201" s="128">
        <v>5</v>
      </c>
      <c r="S201" s="129">
        <v>0</v>
      </c>
      <c r="T201" s="129">
        <v>0</v>
      </c>
      <c r="U201" s="129">
        <v>111114</v>
      </c>
      <c r="V201" s="130">
        <v>500000</v>
      </c>
      <c r="W201" s="128">
        <v>0</v>
      </c>
      <c r="X201" s="128">
        <v>1</v>
      </c>
      <c r="Y201" s="131" t="str">
        <f ca="1">IF(ISBLANK(BudgetsTable[[#This Row],[budg_seq_yr]]),"FY"&amp;fiscalyear,"FY"&amp;fiscalyear-1+BudgetsTable[[#This Row],[budg_seq_yr]])</f>
        <v>FY18</v>
      </c>
      <c r="Z201" s="129">
        <v>500000</v>
      </c>
      <c r="AA201" s="128" t="s">
        <v>741</v>
      </c>
      <c r="AB201" s="128" t="s">
        <v>901</v>
      </c>
      <c r="AC201" s="126" t="s">
        <v>94</v>
      </c>
      <c r="AD201" s="128" t="s">
        <v>2007</v>
      </c>
    </row>
    <row r="202" spans="1:30">
      <c r="A202" s="125" t="s">
        <v>1256</v>
      </c>
      <c r="B202" s="126" t="s">
        <v>96</v>
      </c>
      <c r="C202" s="126">
        <f>C201+(BudgetsTable[[#This Row],[lead]]&lt;&gt;K201)</f>
        <v>41</v>
      </c>
      <c r="D202" s="126">
        <f>D201*(BudgetsTable[[#This Row],[lead]]=K201)+(BudgetsTable[[#This Row],[prop_id]]&lt;&gt;A201)</f>
        <v>1</v>
      </c>
      <c r="E202" s="127">
        <v>42809.661111111112</v>
      </c>
      <c r="F202" s="128" t="s">
        <v>1965</v>
      </c>
      <c r="G202" s="128" t="s">
        <v>741</v>
      </c>
      <c r="H202" s="128" t="s">
        <v>901</v>
      </c>
      <c r="I202" s="126" t="s">
        <v>948</v>
      </c>
      <c r="J202" s="126" t="s">
        <v>13</v>
      </c>
      <c r="K202" s="128" t="s">
        <v>1256</v>
      </c>
      <c r="L202" s="7" t="str">
        <f>IF(BudgetsTable[[#This Row],[pi_last_name]]=" ","",HYPERLINK("https://www.ejacket.nsf.gov/ej/showProposal.do?Continue=Y&amp;ID="&amp;BudgetsTable[[#This Row],[prop_id]],BudgetsTable[[#This Row],[prop_id]]))</f>
        <v/>
      </c>
      <c r="M202" s="15" t="str">
        <f>IF(BudgetsTable[[#This Row],[pi_last_name]]=" ","",HYPERLINK("https://www.ejacket.nsf.gov/ej/processReviewAnalysis.do?dispatch=add&amp;uniqId="&amp;BudgetsTable[[#This Row],[prop_id]]&amp;PO_id,"&gt;ra"))</f>
        <v/>
      </c>
      <c r="N202" s="128" t="s">
        <v>13</v>
      </c>
      <c r="O202" s="7" t="str">
        <f>IF(BudgetsTable[[#This Row],[pi_last_name]]=" ","",HYPERLINK("mailto:"&amp;BudgetsTable[[#This Row],[pi_email]]&amp;"&amp;subject=Your NSF Proposal:  "&amp;BudgetsTable[[#This Row],[prop_id]],BudgetsTable[[#This Row],[pi_email]]))</f>
        <v/>
      </c>
      <c r="P202" s="128" t="s">
        <v>13</v>
      </c>
      <c r="Q202" s="128">
        <v>5</v>
      </c>
      <c r="R202" s="128">
        <v>5</v>
      </c>
      <c r="S202" s="129">
        <v>100425</v>
      </c>
      <c r="T202" s="129">
        <v>0</v>
      </c>
      <c r="U202" s="129">
        <v>100000</v>
      </c>
      <c r="V202" s="130">
        <v>500000</v>
      </c>
      <c r="W202" s="128">
        <v>0</v>
      </c>
      <c r="X202" s="128">
        <v>2</v>
      </c>
      <c r="Y202" s="131" t="str">
        <f ca="1">IF(ISBLANK(BudgetsTable[[#This Row],[budg_seq_yr]]),"FY"&amp;fiscalyear,"FY"&amp;fiscalyear-1+BudgetsTable[[#This Row],[budg_seq_yr]])</f>
        <v>FY19</v>
      </c>
      <c r="Z202" s="129">
        <v>500000</v>
      </c>
      <c r="AA202" s="128" t="s">
        <v>741</v>
      </c>
      <c r="AB202" s="128" t="s">
        <v>901</v>
      </c>
      <c r="AC202" s="126" t="s">
        <v>94</v>
      </c>
      <c r="AD202" s="128" t="s">
        <v>2007</v>
      </c>
    </row>
    <row r="203" spans="1:30">
      <c r="A203" s="125" t="s">
        <v>1256</v>
      </c>
      <c r="B203" s="126" t="s">
        <v>96</v>
      </c>
      <c r="C203" s="126">
        <f>C202+(BudgetsTable[[#This Row],[lead]]&lt;&gt;K202)</f>
        <v>41</v>
      </c>
      <c r="D203" s="126">
        <f>D202*(BudgetsTable[[#This Row],[lead]]=K202)+(BudgetsTable[[#This Row],[prop_id]]&lt;&gt;A202)</f>
        <v>1</v>
      </c>
      <c r="E203" s="127">
        <v>42809.661111111112</v>
      </c>
      <c r="F203" s="128" t="s">
        <v>1965</v>
      </c>
      <c r="G203" s="128" t="s">
        <v>741</v>
      </c>
      <c r="H203" s="128" t="s">
        <v>901</v>
      </c>
      <c r="I203" s="126" t="s">
        <v>948</v>
      </c>
      <c r="J203" s="126" t="s">
        <v>13</v>
      </c>
      <c r="K203" s="128" t="s">
        <v>1256</v>
      </c>
      <c r="L203" s="7" t="str">
        <f>IF(BudgetsTable[[#This Row],[pi_last_name]]=" ","",HYPERLINK("https://www.ejacket.nsf.gov/ej/showProposal.do?Continue=Y&amp;ID="&amp;BudgetsTable[[#This Row],[prop_id]],BudgetsTable[[#This Row],[prop_id]]))</f>
        <v/>
      </c>
      <c r="M203" s="15" t="str">
        <f>IF(BudgetsTable[[#This Row],[pi_last_name]]=" ","",HYPERLINK("https://www.ejacket.nsf.gov/ej/processReviewAnalysis.do?dispatch=add&amp;uniqId="&amp;BudgetsTable[[#This Row],[prop_id]]&amp;PO_id,"&gt;ra"))</f>
        <v/>
      </c>
      <c r="N203" s="128" t="s">
        <v>13</v>
      </c>
      <c r="O203" s="7" t="str">
        <f>IF(BudgetsTable[[#This Row],[pi_last_name]]=" ","",HYPERLINK("mailto:"&amp;BudgetsTable[[#This Row],[pi_email]]&amp;"&amp;subject=Your NSF Proposal:  "&amp;BudgetsTable[[#This Row],[prop_id]],BudgetsTable[[#This Row],[pi_email]]))</f>
        <v/>
      </c>
      <c r="P203" s="128" t="s">
        <v>13</v>
      </c>
      <c r="Q203" s="128">
        <v>5</v>
      </c>
      <c r="R203" s="128">
        <v>5</v>
      </c>
      <c r="S203" s="129">
        <v>103438</v>
      </c>
      <c r="T203" s="129">
        <v>0</v>
      </c>
      <c r="U203" s="129">
        <v>100000</v>
      </c>
      <c r="V203" s="130">
        <v>500000</v>
      </c>
      <c r="W203" s="128">
        <v>0</v>
      </c>
      <c r="X203" s="128">
        <v>3</v>
      </c>
      <c r="Y203" s="131" t="str">
        <f ca="1">IF(ISBLANK(BudgetsTable[[#This Row],[budg_seq_yr]]),"FY"&amp;fiscalyear,"FY"&amp;fiscalyear-1+BudgetsTable[[#This Row],[budg_seq_yr]])</f>
        <v>FY20</v>
      </c>
      <c r="Z203" s="129">
        <v>500000</v>
      </c>
      <c r="AA203" s="128" t="s">
        <v>741</v>
      </c>
      <c r="AB203" s="128" t="s">
        <v>901</v>
      </c>
      <c r="AC203" s="126" t="s">
        <v>94</v>
      </c>
      <c r="AD203" s="128" t="s">
        <v>2007</v>
      </c>
    </row>
    <row r="204" spans="1:30">
      <c r="A204" s="125" t="s">
        <v>1264</v>
      </c>
      <c r="B204" s="126" t="s">
        <v>96</v>
      </c>
      <c r="C204" s="126">
        <f>C203+(BudgetsTable[[#This Row],[lead]]&lt;&gt;K203)</f>
        <v>42</v>
      </c>
      <c r="D204" s="126">
        <f>D203*(BudgetsTable[[#This Row],[lead]]=K203)+(BudgetsTable[[#This Row],[prop_id]]&lt;&gt;A203)</f>
        <v>1</v>
      </c>
      <c r="E204" s="127">
        <v>42809.663888888892</v>
      </c>
      <c r="F204" s="128" t="s">
        <v>1965</v>
      </c>
      <c r="G204" s="128" t="s">
        <v>741</v>
      </c>
      <c r="H204" s="128" t="s">
        <v>901</v>
      </c>
      <c r="I204" s="126" t="s">
        <v>543</v>
      </c>
      <c r="J204" s="126" t="s">
        <v>2220</v>
      </c>
      <c r="K204" s="128" t="s">
        <v>1264</v>
      </c>
      <c r="L204" s="7" t="str">
        <f>IF(BudgetsTable[[#This Row],[pi_last_name]]=" ","",HYPERLINK("https://www.ejacket.nsf.gov/ej/showProposal.do?Continue=Y&amp;ID="&amp;BudgetsTable[[#This Row],[prop_id]],BudgetsTable[[#This Row],[prop_id]]))</f>
        <v>1740810</v>
      </c>
      <c r="M204" s="15" t="str">
        <f>IF(BudgetsTable[[#This Row],[pi_last_name]]=" ","",HYPERLINK("https://www.ejacket.nsf.gov/ej/processReviewAnalysis.do?dispatch=add&amp;uniqId="&amp;BudgetsTable[[#This Row],[prop_id]]&amp;PO_id,"&gt;ra"))</f>
        <v>&gt;ra</v>
      </c>
      <c r="N204" s="128" t="s">
        <v>1265</v>
      </c>
      <c r="O204" s="7" t="str">
        <f>IF(BudgetsTable[[#This Row],[pi_last_name]]=" ","",HYPERLINK("mailto:"&amp;BudgetsTable[[#This Row],[pi_email]]&amp;"&amp;subject=Your NSF Proposal:  "&amp;BudgetsTable[[#This Row],[prop_id]],BudgetsTable[[#This Row],[pi_email]]))</f>
        <v>michaelm@eecs.harvard.edu</v>
      </c>
      <c r="P204" s="128" t="s">
        <v>2217</v>
      </c>
      <c r="Q204" s="128"/>
      <c r="R204" s="128"/>
      <c r="S204" s="129"/>
      <c r="T204" s="129"/>
      <c r="U204" s="129"/>
      <c r="V204" s="130"/>
      <c r="W204" s="128">
        <v>0</v>
      </c>
      <c r="X204" s="128"/>
      <c r="Y204" s="131" t="str">
        <f ca="1">IF(ISBLANK(BudgetsTable[[#This Row],[budg_seq_yr]]),"FY"&amp;fiscalyear,"FY"&amp;fiscalyear-1+BudgetsTable[[#This Row],[budg_seq_yr]])</f>
        <v>FY18</v>
      </c>
      <c r="Z204" s="129">
        <v>1500000</v>
      </c>
      <c r="AA204" s="128" t="s">
        <v>741</v>
      </c>
      <c r="AB204" s="128" t="s">
        <v>901</v>
      </c>
      <c r="AC204" s="126" t="s">
        <v>94</v>
      </c>
      <c r="AD204" s="128" t="s">
        <v>1968</v>
      </c>
    </row>
    <row r="205" spans="1:30">
      <c r="A205" s="125" t="s">
        <v>1264</v>
      </c>
      <c r="B205" s="126" t="s">
        <v>96</v>
      </c>
      <c r="C205" s="126">
        <f>C204+(BudgetsTable[[#This Row],[lead]]&lt;&gt;K204)</f>
        <v>42</v>
      </c>
      <c r="D205" s="126">
        <f>D204*(BudgetsTable[[#This Row],[lead]]=K204)+(BudgetsTable[[#This Row],[prop_id]]&lt;&gt;A204)</f>
        <v>1</v>
      </c>
      <c r="E205" s="127">
        <v>42809.663888888892</v>
      </c>
      <c r="F205" s="128" t="s">
        <v>1965</v>
      </c>
      <c r="G205" s="128" t="s">
        <v>741</v>
      </c>
      <c r="H205" s="128" t="s">
        <v>901</v>
      </c>
      <c r="I205" s="126" t="s">
        <v>543</v>
      </c>
      <c r="J205" s="126" t="s">
        <v>13</v>
      </c>
      <c r="K205" s="128" t="s">
        <v>1264</v>
      </c>
      <c r="L205" s="7" t="str">
        <f>IF(BudgetsTable[[#This Row],[pi_last_name]]=" ","",HYPERLINK("https://www.ejacket.nsf.gov/ej/showProposal.do?Continue=Y&amp;ID="&amp;BudgetsTable[[#This Row],[prop_id]],BudgetsTable[[#This Row],[prop_id]]))</f>
        <v/>
      </c>
      <c r="M205" s="15" t="str">
        <f>IF(BudgetsTable[[#This Row],[pi_last_name]]=" ","",HYPERLINK("https://www.ejacket.nsf.gov/ej/processReviewAnalysis.do?dispatch=add&amp;uniqId="&amp;BudgetsTable[[#This Row],[prop_id]]&amp;PO_id,"&gt;ra"))</f>
        <v/>
      </c>
      <c r="N205" s="128" t="s">
        <v>13</v>
      </c>
      <c r="O205" s="7" t="str">
        <f>IF(BudgetsTable[[#This Row],[pi_last_name]]=" ","",HYPERLINK("mailto:"&amp;BudgetsTable[[#This Row],[pi_email]]&amp;"&amp;subject=Your NSF Proposal:  "&amp;BudgetsTable[[#This Row],[prop_id]],BudgetsTable[[#This Row],[pi_email]]))</f>
        <v/>
      </c>
      <c r="P205" s="128" t="s">
        <v>13</v>
      </c>
      <c r="Q205" s="128">
        <v>3</v>
      </c>
      <c r="R205" s="128">
        <v>0</v>
      </c>
      <c r="S205" s="129">
        <v>97500</v>
      </c>
      <c r="T205" s="129">
        <v>0</v>
      </c>
      <c r="U205" s="129">
        <v>0</v>
      </c>
      <c r="V205" s="130">
        <v>500000</v>
      </c>
      <c r="W205" s="128">
        <v>0</v>
      </c>
      <c r="X205" s="128">
        <v>1</v>
      </c>
      <c r="Y205" s="131" t="str">
        <f ca="1">IF(ISBLANK(BudgetsTable[[#This Row],[budg_seq_yr]]),"FY"&amp;fiscalyear,"FY"&amp;fiscalyear-1+BudgetsTable[[#This Row],[budg_seq_yr]])</f>
        <v>FY18</v>
      </c>
      <c r="Z205" s="129">
        <v>500000</v>
      </c>
      <c r="AA205" s="128" t="s">
        <v>741</v>
      </c>
      <c r="AB205" s="128" t="s">
        <v>901</v>
      </c>
      <c r="AC205" s="126" t="s">
        <v>94</v>
      </c>
      <c r="AD205" s="128" t="s">
        <v>1968</v>
      </c>
    </row>
    <row r="206" spans="1:30">
      <c r="A206" s="125" t="s">
        <v>1264</v>
      </c>
      <c r="B206" s="126" t="s">
        <v>96</v>
      </c>
      <c r="C206" s="126">
        <f>C205+(BudgetsTable[[#This Row],[lead]]&lt;&gt;K205)</f>
        <v>42</v>
      </c>
      <c r="D206" s="126">
        <f>D205*(BudgetsTable[[#This Row],[lead]]=K205)+(BudgetsTable[[#This Row],[prop_id]]&lt;&gt;A205)</f>
        <v>1</v>
      </c>
      <c r="E206" s="127">
        <v>42809.663888888892</v>
      </c>
      <c r="F206" s="128" t="s">
        <v>1965</v>
      </c>
      <c r="G206" s="128" t="s">
        <v>741</v>
      </c>
      <c r="H206" s="128" t="s">
        <v>901</v>
      </c>
      <c r="I206" s="126" t="s">
        <v>543</v>
      </c>
      <c r="J206" s="126" t="s">
        <v>13</v>
      </c>
      <c r="K206" s="128" t="s">
        <v>1264</v>
      </c>
      <c r="L206" s="7" t="str">
        <f>IF(BudgetsTable[[#This Row],[pi_last_name]]=" ","",HYPERLINK("https://www.ejacket.nsf.gov/ej/showProposal.do?Continue=Y&amp;ID="&amp;BudgetsTable[[#This Row],[prop_id]],BudgetsTable[[#This Row],[prop_id]]))</f>
        <v/>
      </c>
      <c r="M206" s="15" t="str">
        <f>IF(BudgetsTable[[#This Row],[pi_last_name]]=" ","",HYPERLINK("https://www.ejacket.nsf.gov/ej/processReviewAnalysis.do?dispatch=add&amp;uniqId="&amp;BudgetsTable[[#This Row],[prop_id]]&amp;PO_id,"&gt;ra"))</f>
        <v/>
      </c>
      <c r="N206" s="128" t="s">
        <v>13</v>
      </c>
      <c r="O206" s="7" t="str">
        <f>IF(BudgetsTable[[#This Row],[pi_last_name]]=" ","",HYPERLINK("mailto:"&amp;BudgetsTable[[#This Row],[pi_email]]&amp;"&amp;subject=Your NSF Proposal:  "&amp;BudgetsTable[[#This Row],[prop_id]],BudgetsTable[[#This Row],[pi_email]]))</f>
        <v/>
      </c>
      <c r="P206" s="128" t="s">
        <v>13</v>
      </c>
      <c r="Q206" s="128">
        <v>2</v>
      </c>
      <c r="R206" s="128">
        <v>0</v>
      </c>
      <c r="S206" s="129">
        <v>206000</v>
      </c>
      <c r="T206" s="129">
        <v>0</v>
      </c>
      <c r="U206" s="129">
        <v>0</v>
      </c>
      <c r="V206" s="130">
        <v>500000</v>
      </c>
      <c r="W206" s="128">
        <v>0</v>
      </c>
      <c r="X206" s="128">
        <v>2</v>
      </c>
      <c r="Y206" s="131" t="str">
        <f ca="1">IF(ISBLANK(BudgetsTable[[#This Row],[budg_seq_yr]]),"FY"&amp;fiscalyear,"FY"&amp;fiscalyear-1+BudgetsTable[[#This Row],[budg_seq_yr]])</f>
        <v>FY19</v>
      </c>
      <c r="Z206" s="129">
        <v>500000</v>
      </c>
      <c r="AA206" s="128" t="s">
        <v>741</v>
      </c>
      <c r="AB206" s="128" t="s">
        <v>901</v>
      </c>
      <c r="AC206" s="126" t="s">
        <v>94</v>
      </c>
      <c r="AD206" s="128" t="s">
        <v>1968</v>
      </c>
    </row>
    <row r="207" spans="1:30">
      <c r="A207" s="125" t="s">
        <v>1264</v>
      </c>
      <c r="B207" s="126" t="s">
        <v>96</v>
      </c>
      <c r="C207" s="126">
        <f>C206+(BudgetsTable[[#This Row],[lead]]&lt;&gt;K206)</f>
        <v>42</v>
      </c>
      <c r="D207" s="126">
        <f>D206*(BudgetsTable[[#This Row],[lead]]=K206)+(BudgetsTable[[#This Row],[prop_id]]&lt;&gt;A206)</f>
        <v>1</v>
      </c>
      <c r="E207" s="127">
        <v>42809.663888888892</v>
      </c>
      <c r="F207" s="128" t="s">
        <v>1965</v>
      </c>
      <c r="G207" s="128" t="s">
        <v>741</v>
      </c>
      <c r="H207" s="128" t="s">
        <v>901</v>
      </c>
      <c r="I207" s="126" t="s">
        <v>543</v>
      </c>
      <c r="J207" s="126" t="s">
        <v>13</v>
      </c>
      <c r="K207" s="128" t="s">
        <v>1264</v>
      </c>
      <c r="L207" s="7" t="str">
        <f>IF(BudgetsTable[[#This Row],[pi_last_name]]=" ","",HYPERLINK("https://www.ejacket.nsf.gov/ej/showProposal.do?Continue=Y&amp;ID="&amp;BudgetsTable[[#This Row],[prop_id]],BudgetsTable[[#This Row],[prop_id]]))</f>
        <v/>
      </c>
      <c r="M207" s="15" t="str">
        <f>IF(BudgetsTable[[#This Row],[pi_last_name]]=" ","",HYPERLINK("https://www.ejacket.nsf.gov/ej/processReviewAnalysis.do?dispatch=add&amp;uniqId="&amp;BudgetsTable[[#This Row],[prop_id]]&amp;PO_id,"&gt;ra"))</f>
        <v/>
      </c>
      <c r="N207" s="128" t="s">
        <v>13</v>
      </c>
      <c r="O207" s="7" t="str">
        <f>IF(BudgetsTable[[#This Row],[pi_last_name]]=" ","",HYPERLINK("mailto:"&amp;BudgetsTable[[#This Row],[pi_email]]&amp;"&amp;subject=Your NSF Proposal:  "&amp;BudgetsTable[[#This Row],[prop_id]],BudgetsTable[[#This Row],[pi_email]]))</f>
        <v/>
      </c>
      <c r="P207" s="128" t="s">
        <v>13</v>
      </c>
      <c r="Q207" s="128">
        <v>3</v>
      </c>
      <c r="R207" s="128">
        <v>0</v>
      </c>
      <c r="S207" s="129">
        <v>177701</v>
      </c>
      <c r="T207" s="129">
        <v>0</v>
      </c>
      <c r="U207" s="129">
        <v>0</v>
      </c>
      <c r="V207" s="130">
        <v>500000</v>
      </c>
      <c r="W207" s="128">
        <v>0</v>
      </c>
      <c r="X207" s="128">
        <v>3</v>
      </c>
      <c r="Y207" s="131" t="str">
        <f ca="1">IF(ISBLANK(BudgetsTable[[#This Row],[budg_seq_yr]]),"FY"&amp;fiscalyear,"FY"&amp;fiscalyear-1+BudgetsTable[[#This Row],[budg_seq_yr]])</f>
        <v>FY20</v>
      </c>
      <c r="Z207" s="129">
        <v>500000</v>
      </c>
      <c r="AA207" s="128" t="s">
        <v>741</v>
      </c>
      <c r="AB207" s="128" t="s">
        <v>901</v>
      </c>
      <c r="AC207" s="126" t="s">
        <v>94</v>
      </c>
      <c r="AD207" s="128" t="s">
        <v>1968</v>
      </c>
    </row>
    <row r="208" spans="1:30">
      <c r="A208" s="125" t="s">
        <v>1271</v>
      </c>
      <c r="B208" s="126" t="s">
        <v>1981</v>
      </c>
      <c r="C208" s="126">
        <f>C207+(BudgetsTable[[#This Row],[lead]]&lt;&gt;K207)</f>
        <v>43</v>
      </c>
      <c r="D208" s="126">
        <f>D207*(BudgetsTable[[#This Row],[lead]]=K207)+(BudgetsTable[[#This Row],[prop_id]]&lt;&gt;A207)</f>
        <v>1</v>
      </c>
      <c r="E208" s="127">
        <v>42809.663888888892</v>
      </c>
      <c r="F208" s="128" t="s">
        <v>1965</v>
      </c>
      <c r="G208" s="128" t="s">
        <v>741</v>
      </c>
      <c r="H208" s="128" t="s">
        <v>901</v>
      </c>
      <c r="I208" s="126" t="s">
        <v>540</v>
      </c>
      <c r="J208" s="126" t="s">
        <v>2225</v>
      </c>
      <c r="K208" s="128" t="s">
        <v>1271</v>
      </c>
      <c r="L208" s="7" t="str">
        <f>IF(BudgetsTable[[#This Row],[pi_last_name]]=" ","",HYPERLINK("https://www.ejacket.nsf.gov/ej/showProposal.do?Continue=Y&amp;ID="&amp;BudgetsTable[[#This Row],[prop_id]],BudgetsTable[[#This Row],[prop_id]]))</f>
        <v>1740811</v>
      </c>
      <c r="M208" s="15" t="str">
        <f>IF(BudgetsTable[[#This Row],[pi_last_name]]=" ","",HYPERLINK("https://www.ejacket.nsf.gov/ej/processReviewAnalysis.do?dispatch=add&amp;uniqId="&amp;BudgetsTable[[#This Row],[prop_id]]&amp;PO_id,"&gt;ra"))</f>
        <v>&gt;ra</v>
      </c>
      <c r="N208" s="128" t="s">
        <v>1272</v>
      </c>
      <c r="O208" s="7" t="str">
        <f>IF(BudgetsTable[[#This Row],[pi_last_name]]=" ","",HYPERLINK("mailto:"&amp;BudgetsTable[[#This Row],[pi_email]]&amp;"&amp;subject=Your NSF Proposal:  "&amp;BudgetsTable[[#This Row],[prop_id]],BudgetsTable[[#This Row],[pi_email]]))</f>
        <v>mishra@cs.nyu.edu</v>
      </c>
      <c r="P208" s="128" t="s">
        <v>2222</v>
      </c>
      <c r="Q208" s="128"/>
      <c r="R208" s="128"/>
      <c r="S208" s="129"/>
      <c r="T208" s="129"/>
      <c r="U208" s="129"/>
      <c r="V208" s="130"/>
      <c r="W208" s="128">
        <v>0</v>
      </c>
      <c r="X208" s="128"/>
      <c r="Y208" s="131" t="str">
        <f ca="1">IF(ISBLANK(BudgetsTable[[#This Row],[budg_seq_yr]]),"FY"&amp;fiscalyear,"FY"&amp;fiscalyear-1+BudgetsTable[[#This Row],[budg_seq_yr]])</f>
        <v>FY18</v>
      </c>
      <c r="Z208" s="129">
        <v>1050000</v>
      </c>
      <c r="AA208" s="128" t="s">
        <v>741</v>
      </c>
      <c r="AB208" s="128" t="s">
        <v>901</v>
      </c>
      <c r="AC208" s="126" t="s">
        <v>94</v>
      </c>
      <c r="AD208" s="128" t="s">
        <v>1968</v>
      </c>
    </row>
    <row r="209" spans="1:30">
      <c r="A209" s="125" t="s">
        <v>1271</v>
      </c>
      <c r="B209" s="126" t="s">
        <v>1981</v>
      </c>
      <c r="C209" s="126">
        <f>C208+(BudgetsTable[[#This Row],[lead]]&lt;&gt;K208)</f>
        <v>43</v>
      </c>
      <c r="D209" s="126">
        <f>D208*(BudgetsTable[[#This Row],[lead]]=K208)+(BudgetsTable[[#This Row],[prop_id]]&lt;&gt;A208)</f>
        <v>1</v>
      </c>
      <c r="E209" s="127">
        <v>42809.663888888892</v>
      </c>
      <c r="F209" s="128" t="s">
        <v>1965</v>
      </c>
      <c r="G209" s="128" t="s">
        <v>741</v>
      </c>
      <c r="H209" s="128" t="s">
        <v>901</v>
      </c>
      <c r="I209" s="126" t="s">
        <v>540</v>
      </c>
      <c r="J209" s="126" t="s">
        <v>13</v>
      </c>
      <c r="K209" s="128" t="s">
        <v>1271</v>
      </c>
      <c r="L209" s="7" t="str">
        <f>IF(BudgetsTable[[#This Row],[pi_last_name]]=" ","",HYPERLINK("https://www.ejacket.nsf.gov/ej/showProposal.do?Continue=Y&amp;ID="&amp;BudgetsTable[[#This Row],[prop_id]],BudgetsTable[[#This Row],[prop_id]]))</f>
        <v/>
      </c>
      <c r="M209" s="15" t="str">
        <f>IF(BudgetsTable[[#This Row],[pi_last_name]]=" ","",HYPERLINK("https://www.ejacket.nsf.gov/ej/processReviewAnalysis.do?dispatch=add&amp;uniqId="&amp;BudgetsTable[[#This Row],[prop_id]]&amp;PO_id,"&gt;ra"))</f>
        <v/>
      </c>
      <c r="N209" s="128" t="s">
        <v>13</v>
      </c>
      <c r="O209" s="7" t="str">
        <f>IF(BudgetsTable[[#This Row],[pi_last_name]]=" ","",HYPERLINK("mailto:"&amp;BudgetsTable[[#This Row],[pi_email]]&amp;"&amp;subject=Your NSF Proposal:  "&amp;BudgetsTable[[#This Row],[prop_id]],BudgetsTable[[#This Row],[pi_email]]))</f>
        <v/>
      </c>
      <c r="P209" s="128" t="s">
        <v>13</v>
      </c>
      <c r="Q209" s="128">
        <v>2</v>
      </c>
      <c r="R209" s="128">
        <v>2</v>
      </c>
      <c r="S209" s="129">
        <v>66625</v>
      </c>
      <c r="T209" s="129">
        <v>4686</v>
      </c>
      <c r="U209" s="129">
        <v>0</v>
      </c>
      <c r="V209" s="130">
        <v>350000</v>
      </c>
      <c r="W209" s="128">
        <v>0</v>
      </c>
      <c r="X209" s="128">
        <v>1</v>
      </c>
      <c r="Y209" s="131" t="str">
        <f ca="1">IF(ISBLANK(BudgetsTable[[#This Row],[budg_seq_yr]]),"FY"&amp;fiscalyear,"FY"&amp;fiscalyear-1+BudgetsTable[[#This Row],[budg_seq_yr]])</f>
        <v>FY18</v>
      </c>
      <c r="Z209" s="129">
        <v>350000</v>
      </c>
      <c r="AA209" s="128" t="s">
        <v>741</v>
      </c>
      <c r="AB209" s="128" t="s">
        <v>901</v>
      </c>
      <c r="AC209" s="126" t="s">
        <v>94</v>
      </c>
      <c r="AD209" s="128" t="s">
        <v>1968</v>
      </c>
    </row>
    <row r="210" spans="1:30">
      <c r="A210" s="125" t="s">
        <v>1271</v>
      </c>
      <c r="B210" s="126" t="s">
        <v>1981</v>
      </c>
      <c r="C210" s="126">
        <f>C209+(BudgetsTable[[#This Row],[lead]]&lt;&gt;K209)</f>
        <v>43</v>
      </c>
      <c r="D210" s="126">
        <f>D209*(BudgetsTable[[#This Row],[lead]]=K209)+(BudgetsTable[[#This Row],[prop_id]]&lt;&gt;A209)</f>
        <v>1</v>
      </c>
      <c r="E210" s="127">
        <v>42809.663888888892</v>
      </c>
      <c r="F210" s="128" t="s">
        <v>1965</v>
      </c>
      <c r="G210" s="128" t="s">
        <v>741</v>
      </c>
      <c r="H210" s="128" t="s">
        <v>901</v>
      </c>
      <c r="I210" s="126" t="s">
        <v>540</v>
      </c>
      <c r="J210" s="126" t="s">
        <v>13</v>
      </c>
      <c r="K210" s="128" t="s">
        <v>1271</v>
      </c>
      <c r="L210" s="7" t="str">
        <f>IF(BudgetsTable[[#This Row],[pi_last_name]]=" ","",HYPERLINK("https://www.ejacket.nsf.gov/ej/showProposal.do?Continue=Y&amp;ID="&amp;BudgetsTable[[#This Row],[prop_id]],BudgetsTable[[#This Row],[prop_id]]))</f>
        <v/>
      </c>
      <c r="M210" s="15" t="str">
        <f>IF(BudgetsTable[[#This Row],[pi_last_name]]=" ","",HYPERLINK("https://www.ejacket.nsf.gov/ej/processReviewAnalysis.do?dispatch=add&amp;uniqId="&amp;BudgetsTable[[#This Row],[prop_id]]&amp;PO_id,"&gt;ra"))</f>
        <v/>
      </c>
      <c r="N210" s="128" t="s">
        <v>13</v>
      </c>
      <c r="O210" s="7" t="str">
        <f>IF(BudgetsTable[[#This Row],[pi_last_name]]=" ","",HYPERLINK("mailto:"&amp;BudgetsTable[[#This Row],[pi_email]]&amp;"&amp;subject=Your NSF Proposal:  "&amp;BudgetsTable[[#This Row],[prop_id]],BudgetsTable[[#This Row],[pi_email]]))</f>
        <v/>
      </c>
      <c r="P210" s="128" t="s">
        <v>13</v>
      </c>
      <c r="Q210" s="128">
        <v>2</v>
      </c>
      <c r="R210" s="128">
        <v>2</v>
      </c>
      <c r="S210" s="129">
        <v>68291</v>
      </c>
      <c r="T210" s="129">
        <v>3325</v>
      </c>
      <c r="U210" s="129">
        <v>0</v>
      </c>
      <c r="V210" s="130">
        <v>350000</v>
      </c>
      <c r="W210" s="128">
        <v>0</v>
      </c>
      <c r="X210" s="128">
        <v>2</v>
      </c>
      <c r="Y210" s="131" t="str">
        <f ca="1">IF(ISBLANK(BudgetsTable[[#This Row],[budg_seq_yr]]),"FY"&amp;fiscalyear,"FY"&amp;fiscalyear-1+BudgetsTable[[#This Row],[budg_seq_yr]])</f>
        <v>FY19</v>
      </c>
      <c r="Z210" s="129">
        <v>350000</v>
      </c>
      <c r="AA210" s="128" t="s">
        <v>741</v>
      </c>
      <c r="AB210" s="128" t="s">
        <v>901</v>
      </c>
      <c r="AC210" s="126" t="s">
        <v>94</v>
      </c>
      <c r="AD210" s="128" t="s">
        <v>1968</v>
      </c>
    </row>
    <row r="211" spans="1:30">
      <c r="A211" s="125" t="s">
        <v>1271</v>
      </c>
      <c r="B211" s="126" t="s">
        <v>1981</v>
      </c>
      <c r="C211" s="126">
        <f>C210+(BudgetsTable[[#This Row],[lead]]&lt;&gt;K210)</f>
        <v>43</v>
      </c>
      <c r="D211" s="126">
        <f>D210*(BudgetsTable[[#This Row],[lead]]=K210)+(BudgetsTable[[#This Row],[prop_id]]&lt;&gt;A210)</f>
        <v>1</v>
      </c>
      <c r="E211" s="127">
        <v>42809.663888888892</v>
      </c>
      <c r="F211" s="128" t="s">
        <v>1965</v>
      </c>
      <c r="G211" s="128" t="s">
        <v>741</v>
      </c>
      <c r="H211" s="128" t="s">
        <v>901</v>
      </c>
      <c r="I211" s="126" t="s">
        <v>540</v>
      </c>
      <c r="J211" s="126" t="s">
        <v>13</v>
      </c>
      <c r="K211" s="128" t="s">
        <v>1271</v>
      </c>
      <c r="L211" s="7" t="str">
        <f>IF(BudgetsTable[[#This Row],[pi_last_name]]=" ","",HYPERLINK("https://www.ejacket.nsf.gov/ej/showProposal.do?Continue=Y&amp;ID="&amp;BudgetsTable[[#This Row],[prop_id]],BudgetsTable[[#This Row],[prop_id]]))</f>
        <v/>
      </c>
      <c r="M211" s="15" t="str">
        <f>IF(BudgetsTable[[#This Row],[pi_last_name]]=" ","",HYPERLINK("https://www.ejacket.nsf.gov/ej/processReviewAnalysis.do?dispatch=add&amp;uniqId="&amp;BudgetsTable[[#This Row],[prop_id]]&amp;PO_id,"&gt;ra"))</f>
        <v/>
      </c>
      <c r="N211" s="128" t="s">
        <v>13</v>
      </c>
      <c r="O211" s="7" t="str">
        <f>IF(BudgetsTable[[#This Row],[pi_last_name]]=" ","",HYPERLINK("mailto:"&amp;BudgetsTable[[#This Row],[pi_email]]&amp;"&amp;subject=Your NSF Proposal:  "&amp;BudgetsTable[[#This Row],[prop_id]],BudgetsTable[[#This Row],[pi_email]]))</f>
        <v/>
      </c>
      <c r="P211" s="128" t="s">
        <v>13</v>
      </c>
      <c r="Q211" s="128">
        <v>2</v>
      </c>
      <c r="R211" s="128">
        <v>2</v>
      </c>
      <c r="S211" s="129">
        <v>69998</v>
      </c>
      <c r="T211" s="129">
        <v>3958</v>
      </c>
      <c r="U211" s="129">
        <v>0</v>
      </c>
      <c r="V211" s="130">
        <v>350000</v>
      </c>
      <c r="W211" s="128">
        <v>0</v>
      </c>
      <c r="X211" s="128">
        <v>3</v>
      </c>
      <c r="Y211" s="131" t="str">
        <f ca="1">IF(ISBLANK(BudgetsTable[[#This Row],[budg_seq_yr]]),"FY"&amp;fiscalyear,"FY"&amp;fiscalyear-1+BudgetsTable[[#This Row],[budg_seq_yr]])</f>
        <v>FY20</v>
      </c>
      <c r="Z211" s="129">
        <v>350000</v>
      </c>
      <c r="AA211" s="128" t="s">
        <v>741</v>
      </c>
      <c r="AB211" s="128" t="s">
        <v>901</v>
      </c>
      <c r="AC211" s="126" t="s">
        <v>94</v>
      </c>
      <c r="AD211" s="128" t="s">
        <v>1968</v>
      </c>
    </row>
    <row r="212" spans="1:30">
      <c r="A212" s="125" t="s">
        <v>2226</v>
      </c>
      <c r="B212" s="126" t="s">
        <v>1989</v>
      </c>
      <c r="C212" s="126">
        <f>C211+(BudgetsTable[[#This Row],[lead]]&lt;&gt;K211)</f>
        <v>43</v>
      </c>
      <c r="D212" s="126">
        <f>D211*(BudgetsTable[[#This Row],[lead]]=K211)+(BudgetsTable[[#This Row],[prop_id]]&lt;&gt;A211)</f>
        <v>2</v>
      </c>
      <c r="E212" s="127">
        <v>42809.627083333333</v>
      </c>
      <c r="F212" s="128" t="s">
        <v>1965</v>
      </c>
      <c r="G212" s="128" t="s">
        <v>741</v>
      </c>
      <c r="H212" s="128" t="s">
        <v>901</v>
      </c>
      <c r="I212" s="126" t="s">
        <v>540</v>
      </c>
      <c r="J212" s="126" t="s">
        <v>2229</v>
      </c>
      <c r="K212" s="128" t="s">
        <v>1271</v>
      </c>
      <c r="L212" s="7" t="str">
        <f>IF(BudgetsTable[[#This Row],[pi_last_name]]=" ","",HYPERLINK("https://www.ejacket.nsf.gov/ej/showProposal.do?Continue=Y&amp;ID="&amp;BudgetsTable[[#This Row],[prop_id]],BudgetsTable[[#This Row],[prop_id]]))</f>
        <v>1740789</v>
      </c>
      <c r="M212" s="15" t="str">
        <f>IF(BudgetsTable[[#This Row],[pi_last_name]]=" ","",HYPERLINK("https://www.ejacket.nsf.gov/ej/processReviewAnalysis.do?dispatch=add&amp;uniqId="&amp;BudgetsTable[[#This Row],[prop_id]]&amp;PO_id,"&gt;ra"))</f>
        <v>&gt;ra</v>
      </c>
      <c r="N212" s="128" t="s">
        <v>2227</v>
      </c>
      <c r="O212" s="7" t="str">
        <f>IF(BudgetsTable[[#This Row],[pi_last_name]]=" ","",HYPERLINK("mailto:"&amp;BudgetsTable[[#This Row],[pi_email]]&amp;"&amp;subject=Your NSF Proposal:  "&amp;BudgetsTable[[#This Row],[prop_id]],BudgetsTable[[#This Row],[pi_email]]))</f>
        <v>mitter@mit.edu</v>
      </c>
      <c r="P212" s="128" t="s">
        <v>775</v>
      </c>
      <c r="Q212" s="128"/>
      <c r="R212" s="128"/>
      <c r="S212" s="129"/>
      <c r="T212" s="129"/>
      <c r="U212" s="129"/>
      <c r="V212" s="130"/>
      <c r="W212" s="128">
        <v>0</v>
      </c>
      <c r="X212" s="128"/>
      <c r="Y212" s="131" t="str">
        <f ca="1">IF(ISBLANK(BudgetsTable[[#This Row],[budg_seq_yr]]),"FY"&amp;fiscalyear,"FY"&amp;fiscalyear-1+BudgetsTable[[#This Row],[budg_seq_yr]])</f>
        <v>FY18</v>
      </c>
      <c r="Z212" s="129">
        <v>450000</v>
      </c>
      <c r="AA212" s="128" t="s">
        <v>741</v>
      </c>
      <c r="AB212" s="128" t="s">
        <v>901</v>
      </c>
      <c r="AC212" s="126" t="s">
        <v>94</v>
      </c>
      <c r="AD212" s="128" t="s">
        <v>1968</v>
      </c>
    </row>
    <row r="213" spans="1:30">
      <c r="A213" s="125" t="s">
        <v>2226</v>
      </c>
      <c r="B213" s="126" t="s">
        <v>1989</v>
      </c>
      <c r="C213" s="126">
        <f>C212+(BudgetsTable[[#This Row],[lead]]&lt;&gt;K212)</f>
        <v>43</v>
      </c>
      <c r="D213" s="126">
        <f>D212*(BudgetsTable[[#This Row],[lead]]=K212)+(BudgetsTable[[#This Row],[prop_id]]&lt;&gt;A212)</f>
        <v>2</v>
      </c>
      <c r="E213" s="127">
        <v>42809.627083333333</v>
      </c>
      <c r="F213" s="128" t="s">
        <v>1965</v>
      </c>
      <c r="G213" s="128" t="s">
        <v>741</v>
      </c>
      <c r="H213" s="128" t="s">
        <v>901</v>
      </c>
      <c r="I213" s="126" t="s">
        <v>540</v>
      </c>
      <c r="J213" s="126" t="s">
        <v>13</v>
      </c>
      <c r="K213" s="128" t="s">
        <v>1271</v>
      </c>
      <c r="L213" s="7" t="str">
        <f>IF(BudgetsTable[[#This Row],[pi_last_name]]=" ","",HYPERLINK("https://www.ejacket.nsf.gov/ej/showProposal.do?Continue=Y&amp;ID="&amp;BudgetsTable[[#This Row],[prop_id]],BudgetsTable[[#This Row],[prop_id]]))</f>
        <v/>
      </c>
      <c r="M213" s="15" t="str">
        <f>IF(BudgetsTable[[#This Row],[pi_last_name]]=" ","",HYPERLINK("https://www.ejacket.nsf.gov/ej/processReviewAnalysis.do?dispatch=add&amp;uniqId="&amp;BudgetsTable[[#This Row],[prop_id]]&amp;PO_id,"&gt;ra"))</f>
        <v/>
      </c>
      <c r="N213" s="128" t="s">
        <v>13</v>
      </c>
      <c r="O213" s="7" t="str">
        <f>IF(BudgetsTable[[#This Row],[pi_last_name]]=" ","",HYPERLINK("mailto:"&amp;BudgetsTable[[#This Row],[pi_email]]&amp;"&amp;subject=Your NSF Proposal:  "&amp;BudgetsTable[[#This Row],[prop_id]],BudgetsTable[[#This Row],[pi_email]]))</f>
        <v/>
      </c>
      <c r="P213" s="128" t="s">
        <v>13</v>
      </c>
      <c r="Q213" s="128">
        <v>1</v>
      </c>
      <c r="R213" s="128">
        <v>1</v>
      </c>
      <c r="S213" s="129">
        <v>45326</v>
      </c>
      <c r="T213" s="129">
        <v>4000</v>
      </c>
      <c r="U213" s="129">
        <v>0</v>
      </c>
      <c r="V213" s="130">
        <v>150000</v>
      </c>
      <c r="W213" s="128">
        <v>0</v>
      </c>
      <c r="X213" s="128">
        <v>1</v>
      </c>
      <c r="Y213" s="131" t="str">
        <f ca="1">IF(ISBLANK(BudgetsTable[[#This Row],[budg_seq_yr]]),"FY"&amp;fiscalyear,"FY"&amp;fiscalyear-1+BudgetsTable[[#This Row],[budg_seq_yr]])</f>
        <v>FY18</v>
      </c>
      <c r="Z213" s="129">
        <v>150000</v>
      </c>
      <c r="AA213" s="128" t="s">
        <v>741</v>
      </c>
      <c r="AB213" s="128" t="s">
        <v>901</v>
      </c>
      <c r="AC213" s="126" t="s">
        <v>94</v>
      </c>
      <c r="AD213" s="128" t="s">
        <v>1968</v>
      </c>
    </row>
    <row r="214" spans="1:30">
      <c r="A214" s="125" t="s">
        <v>2226</v>
      </c>
      <c r="B214" s="126" t="s">
        <v>1989</v>
      </c>
      <c r="C214" s="126">
        <f>C213+(BudgetsTable[[#This Row],[lead]]&lt;&gt;K213)</f>
        <v>43</v>
      </c>
      <c r="D214" s="126">
        <f>D213*(BudgetsTable[[#This Row],[lead]]=K213)+(BudgetsTable[[#This Row],[prop_id]]&lt;&gt;A213)</f>
        <v>2</v>
      </c>
      <c r="E214" s="127">
        <v>42809.627083333333</v>
      </c>
      <c r="F214" s="128" t="s">
        <v>1965</v>
      </c>
      <c r="G214" s="128" t="s">
        <v>741</v>
      </c>
      <c r="H214" s="128" t="s">
        <v>901</v>
      </c>
      <c r="I214" s="126" t="s">
        <v>540</v>
      </c>
      <c r="J214" s="126" t="s">
        <v>13</v>
      </c>
      <c r="K214" s="128" t="s">
        <v>1271</v>
      </c>
      <c r="L214" s="7" t="str">
        <f>IF(BudgetsTable[[#This Row],[pi_last_name]]=" ","",HYPERLINK("https://www.ejacket.nsf.gov/ej/showProposal.do?Continue=Y&amp;ID="&amp;BudgetsTable[[#This Row],[prop_id]],BudgetsTable[[#This Row],[prop_id]]))</f>
        <v/>
      </c>
      <c r="M214" s="15" t="str">
        <f>IF(BudgetsTable[[#This Row],[pi_last_name]]=" ","",HYPERLINK("https://www.ejacket.nsf.gov/ej/processReviewAnalysis.do?dispatch=add&amp;uniqId="&amp;BudgetsTable[[#This Row],[prop_id]]&amp;PO_id,"&gt;ra"))</f>
        <v/>
      </c>
      <c r="N214" s="128" t="s">
        <v>13</v>
      </c>
      <c r="O214" s="7" t="str">
        <f>IF(BudgetsTable[[#This Row],[pi_last_name]]=" ","",HYPERLINK("mailto:"&amp;BudgetsTable[[#This Row],[pi_email]]&amp;"&amp;subject=Your NSF Proposal:  "&amp;BudgetsTable[[#This Row],[prop_id]],BudgetsTable[[#This Row],[pi_email]]))</f>
        <v/>
      </c>
      <c r="P214" s="128" t="s">
        <v>13</v>
      </c>
      <c r="Q214" s="128">
        <v>1</v>
      </c>
      <c r="R214" s="128">
        <v>1</v>
      </c>
      <c r="S214" s="129">
        <v>44977</v>
      </c>
      <c r="T214" s="129">
        <v>4000</v>
      </c>
      <c r="U214" s="129">
        <v>0</v>
      </c>
      <c r="V214" s="130">
        <v>150000</v>
      </c>
      <c r="W214" s="128">
        <v>0</v>
      </c>
      <c r="X214" s="128">
        <v>2</v>
      </c>
      <c r="Y214" s="131" t="str">
        <f ca="1">IF(ISBLANK(BudgetsTable[[#This Row],[budg_seq_yr]]),"FY"&amp;fiscalyear,"FY"&amp;fiscalyear-1+BudgetsTable[[#This Row],[budg_seq_yr]])</f>
        <v>FY19</v>
      </c>
      <c r="Z214" s="129">
        <v>150000</v>
      </c>
      <c r="AA214" s="128" t="s">
        <v>741</v>
      </c>
      <c r="AB214" s="128" t="s">
        <v>901</v>
      </c>
      <c r="AC214" s="126" t="s">
        <v>94</v>
      </c>
      <c r="AD214" s="128" t="s">
        <v>1968</v>
      </c>
    </row>
    <row r="215" spans="1:30">
      <c r="A215" s="125" t="s">
        <v>2226</v>
      </c>
      <c r="B215" s="126" t="s">
        <v>1989</v>
      </c>
      <c r="C215" s="126">
        <f>C214+(BudgetsTable[[#This Row],[lead]]&lt;&gt;K214)</f>
        <v>43</v>
      </c>
      <c r="D215" s="126">
        <f>D214*(BudgetsTable[[#This Row],[lead]]=K214)+(BudgetsTable[[#This Row],[prop_id]]&lt;&gt;A214)</f>
        <v>2</v>
      </c>
      <c r="E215" s="127">
        <v>42809.627083333333</v>
      </c>
      <c r="F215" s="128" t="s">
        <v>1965</v>
      </c>
      <c r="G215" s="128" t="s">
        <v>741</v>
      </c>
      <c r="H215" s="128" t="s">
        <v>901</v>
      </c>
      <c r="I215" s="126" t="s">
        <v>540</v>
      </c>
      <c r="J215" s="126" t="s">
        <v>13</v>
      </c>
      <c r="K215" s="128" t="s">
        <v>1271</v>
      </c>
      <c r="L215" s="7" t="str">
        <f>IF(BudgetsTable[[#This Row],[pi_last_name]]=" ","",HYPERLINK("https://www.ejacket.nsf.gov/ej/showProposal.do?Continue=Y&amp;ID="&amp;BudgetsTable[[#This Row],[prop_id]],BudgetsTable[[#This Row],[prop_id]]))</f>
        <v/>
      </c>
      <c r="M215" s="15" t="str">
        <f>IF(BudgetsTable[[#This Row],[pi_last_name]]=" ","",HYPERLINK("https://www.ejacket.nsf.gov/ej/processReviewAnalysis.do?dispatch=add&amp;uniqId="&amp;BudgetsTable[[#This Row],[prop_id]]&amp;PO_id,"&gt;ra"))</f>
        <v/>
      </c>
      <c r="N215" s="128" t="s">
        <v>13</v>
      </c>
      <c r="O215" s="7" t="str">
        <f>IF(BudgetsTable[[#This Row],[pi_last_name]]=" ","",HYPERLINK("mailto:"&amp;BudgetsTable[[#This Row],[pi_email]]&amp;"&amp;subject=Your NSF Proposal:  "&amp;BudgetsTable[[#This Row],[prop_id]],BudgetsTable[[#This Row],[pi_email]]))</f>
        <v/>
      </c>
      <c r="P215" s="128" t="s">
        <v>13</v>
      </c>
      <c r="Q215" s="128">
        <v>1</v>
      </c>
      <c r="R215" s="128">
        <v>1</v>
      </c>
      <c r="S215" s="129">
        <v>44567</v>
      </c>
      <c r="T215" s="129">
        <v>4000</v>
      </c>
      <c r="U215" s="129">
        <v>0</v>
      </c>
      <c r="V215" s="130">
        <v>150000</v>
      </c>
      <c r="W215" s="128">
        <v>0</v>
      </c>
      <c r="X215" s="128">
        <v>3</v>
      </c>
      <c r="Y215" s="131" t="str">
        <f ca="1">IF(ISBLANK(BudgetsTable[[#This Row],[budg_seq_yr]]),"FY"&amp;fiscalyear,"FY"&amp;fiscalyear-1+BudgetsTable[[#This Row],[budg_seq_yr]])</f>
        <v>FY20</v>
      </c>
      <c r="Z215" s="129">
        <v>150000</v>
      </c>
      <c r="AA215" s="128" t="s">
        <v>741</v>
      </c>
      <c r="AB215" s="128" t="s">
        <v>901</v>
      </c>
      <c r="AC215" s="126" t="s">
        <v>94</v>
      </c>
      <c r="AD215" s="128" t="s">
        <v>1968</v>
      </c>
    </row>
    <row r="216" spans="1:30">
      <c r="A216" s="125" t="s">
        <v>1278</v>
      </c>
      <c r="B216" s="126" t="s">
        <v>96</v>
      </c>
      <c r="C216" s="126">
        <f>C215+(BudgetsTable[[#This Row],[lead]]&lt;&gt;K215)</f>
        <v>44</v>
      </c>
      <c r="D216" s="126">
        <f>D215*(BudgetsTable[[#This Row],[lead]]=K215)+(BudgetsTable[[#This Row],[prop_id]]&lt;&gt;A215)</f>
        <v>1</v>
      </c>
      <c r="E216" s="127">
        <v>42809.665972222225</v>
      </c>
      <c r="F216" s="128" t="s">
        <v>1965</v>
      </c>
      <c r="G216" s="128" t="s">
        <v>741</v>
      </c>
      <c r="H216" s="128" t="s">
        <v>901</v>
      </c>
      <c r="I216" s="126" t="s">
        <v>540</v>
      </c>
      <c r="J216" s="126" t="s">
        <v>2233</v>
      </c>
      <c r="K216" s="128" t="s">
        <v>1278</v>
      </c>
      <c r="L216" s="7" t="str">
        <f>IF(BudgetsTable[[#This Row],[pi_last_name]]=" ","",HYPERLINK("https://www.ejacket.nsf.gov/ej/showProposal.do?Continue=Y&amp;ID="&amp;BudgetsTable[[#This Row],[prop_id]],BudgetsTable[[#This Row],[prop_id]]))</f>
        <v>1740813</v>
      </c>
      <c r="M216" s="15" t="str">
        <f>IF(BudgetsTable[[#This Row],[pi_last_name]]=" ","",HYPERLINK("https://www.ejacket.nsf.gov/ej/processReviewAnalysis.do?dispatch=add&amp;uniqId="&amp;BudgetsTable[[#This Row],[prop_id]]&amp;PO_id,"&gt;ra"))</f>
        <v>&gt;ra</v>
      </c>
      <c r="N216" s="128" t="s">
        <v>1279</v>
      </c>
      <c r="O216" s="7" t="str">
        <f>IF(BudgetsTable[[#This Row],[pi_last_name]]=" ","",HYPERLINK("mailto:"&amp;BudgetsTable[[#This Row],[pi_email]]&amp;"&amp;subject=Your NSF Proposal:  "&amp;BudgetsTable[[#This Row],[prop_id]],BudgetsTable[[#This Row],[pi_email]]))</f>
        <v>andersonpe2@cofc.edu</v>
      </c>
      <c r="P216" s="128" t="s">
        <v>2230</v>
      </c>
      <c r="Q216" s="128"/>
      <c r="R216" s="128"/>
      <c r="S216" s="129"/>
      <c r="T216" s="129"/>
      <c r="U216" s="129"/>
      <c r="V216" s="130"/>
      <c r="W216" s="128">
        <v>0</v>
      </c>
      <c r="X216" s="128"/>
      <c r="Y216" s="131" t="str">
        <f ca="1">IF(ISBLANK(BudgetsTable[[#This Row],[budg_seq_yr]]),"FY"&amp;fiscalyear,"FY"&amp;fiscalyear-1+BudgetsTable[[#This Row],[budg_seq_yr]])</f>
        <v>FY18</v>
      </c>
      <c r="Z216" s="129">
        <v>1500000</v>
      </c>
      <c r="AA216" s="128" t="s">
        <v>741</v>
      </c>
      <c r="AB216" s="128" t="s">
        <v>901</v>
      </c>
      <c r="AC216" s="126" t="s">
        <v>94</v>
      </c>
      <c r="AD216" s="128" t="s">
        <v>1987</v>
      </c>
    </row>
    <row r="217" spans="1:30">
      <c r="A217" s="125" t="s">
        <v>1278</v>
      </c>
      <c r="B217" s="126" t="s">
        <v>96</v>
      </c>
      <c r="C217" s="126">
        <f>C216+(BudgetsTable[[#This Row],[lead]]&lt;&gt;K216)</f>
        <v>44</v>
      </c>
      <c r="D217" s="126">
        <f>D216*(BudgetsTable[[#This Row],[lead]]=K216)+(BudgetsTable[[#This Row],[prop_id]]&lt;&gt;A216)</f>
        <v>1</v>
      </c>
      <c r="E217" s="127">
        <v>42809.665972222225</v>
      </c>
      <c r="F217" s="128" t="s">
        <v>1965</v>
      </c>
      <c r="G217" s="128" t="s">
        <v>741</v>
      </c>
      <c r="H217" s="128" t="s">
        <v>901</v>
      </c>
      <c r="I217" s="126" t="s">
        <v>540</v>
      </c>
      <c r="J217" s="126" t="s">
        <v>13</v>
      </c>
      <c r="K217" s="128" t="s">
        <v>1278</v>
      </c>
      <c r="L217" s="7" t="str">
        <f>IF(BudgetsTable[[#This Row],[pi_last_name]]=" ","",HYPERLINK("https://www.ejacket.nsf.gov/ej/showProposal.do?Continue=Y&amp;ID="&amp;BudgetsTable[[#This Row],[prop_id]],BudgetsTable[[#This Row],[prop_id]]))</f>
        <v/>
      </c>
      <c r="M217" s="15" t="str">
        <f>IF(BudgetsTable[[#This Row],[pi_last_name]]=" ","",HYPERLINK("https://www.ejacket.nsf.gov/ej/processReviewAnalysis.do?dispatch=add&amp;uniqId="&amp;BudgetsTable[[#This Row],[prop_id]]&amp;PO_id,"&gt;ra"))</f>
        <v/>
      </c>
      <c r="N217" s="128" t="s">
        <v>13</v>
      </c>
      <c r="O217" s="7" t="str">
        <f>IF(BudgetsTable[[#This Row],[pi_last_name]]=" ","",HYPERLINK("mailto:"&amp;BudgetsTable[[#This Row],[pi_email]]&amp;"&amp;subject=Your NSF Proposal:  "&amp;BudgetsTable[[#This Row],[prop_id]],BudgetsTable[[#This Row],[pi_email]]))</f>
        <v/>
      </c>
      <c r="P217" s="128" t="s">
        <v>13</v>
      </c>
      <c r="Q217" s="128">
        <v>5</v>
      </c>
      <c r="R217" s="128">
        <v>8</v>
      </c>
      <c r="S217" s="129">
        <v>0</v>
      </c>
      <c r="T217" s="129">
        <v>0</v>
      </c>
      <c r="U217" s="129">
        <v>18275</v>
      </c>
      <c r="V217" s="130">
        <v>500000</v>
      </c>
      <c r="W217" s="128">
        <v>0</v>
      </c>
      <c r="X217" s="128">
        <v>1</v>
      </c>
      <c r="Y217" s="131" t="str">
        <f ca="1">IF(ISBLANK(BudgetsTable[[#This Row],[budg_seq_yr]]),"FY"&amp;fiscalyear,"FY"&amp;fiscalyear-1+BudgetsTable[[#This Row],[budg_seq_yr]])</f>
        <v>FY18</v>
      </c>
      <c r="Z217" s="129">
        <v>500000</v>
      </c>
      <c r="AA217" s="128" t="s">
        <v>741</v>
      </c>
      <c r="AB217" s="128" t="s">
        <v>901</v>
      </c>
      <c r="AC217" s="126" t="s">
        <v>94</v>
      </c>
      <c r="AD217" s="128" t="s">
        <v>1987</v>
      </c>
    </row>
    <row r="218" spans="1:30">
      <c r="A218" s="125" t="s">
        <v>1278</v>
      </c>
      <c r="B218" s="126" t="s">
        <v>96</v>
      </c>
      <c r="C218" s="126">
        <f>C217+(BudgetsTable[[#This Row],[lead]]&lt;&gt;K217)</f>
        <v>44</v>
      </c>
      <c r="D218" s="126">
        <f>D217*(BudgetsTable[[#This Row],[lead]]=K217)+(BudgetsTable[[#This Row],[prop_id]]&lt;&gt;A217)</f>
        <v>1</v>
      </c>
      <c r="E218" s="127">
        <v>42809.665972222225</v>
      </c>
      <c r="F218" s="128" t="s">
        <v>1965</v>
      </c>
      <c r="G218" s="128" t="s">
        <v>741</v>
      </c>
      <c r="H218" s="128" t="s">
        <v>901</v>
      </c>
      <c r="I218" s="126" t="s">
        <v>540</v>
      </c>
      <c r="J218" s="126" t="s">
        <v>13</v>
      </c>
      <c r="K218" s="128" t="s">
        <v>1278</v>
      </c>
      <c r="L218" s="7" t="str">
        <f>IF(BudgetsTable[[#This Row],[pi_last_name]]=" ","",HYPERLINK("https://www.ejacket.nsf.gov/ej/showProposal.do?Continue=Y&amp;ID="&amp;BudgetsTable[[#This Row],[prop_id]],BudgetsTable[[#This Row],[prop_id]]))</f>
        <v/>
      </c>
      <c r="M218" s="15" t="str">
        <f>IF(BudgetsTable[[#This Row],[pi_last_name]]=" ","",HYPERLINK("https://www.ejacket.nsf.gov/ej/processReviewAnalysis.do?dispatch=add&amp;uniqId="&amp;BudgetsTable[[#This Row],[prop_id]]&amp;PO_id,"&gt;ra"))</f>
        <v/>
      </c>
      <c r="N218" s="128" t="s">
        <v>13</v>
      </c>
      <c r="O218" s="7" t="str">
        <f>IF(BudgetsTable[[#This Row],[pi_last_name]]=" ","",HYPERLINK("mailto:"&amp;BudgetsTable[[#This Row],[pi_email]]&amp;"&amp;subject=Your NSF Proposal:  "&amp;BudgetsTable[[#This Row],[prop_id]],BudgetsTable[[#This Row],[pi_email]]))</f>
        <v/>
      </c>
      <c r="P218" s="128" t="s">
        <v>13</v>
      </c>
      <c r="Q218" s="128">
        <v>5</v>
      </c>
      <c r="R218" s="128">
        <v>8</v>
      </c>
      <c r="S218" s="129">
        <v>0</v>
      </c>
      <c r="T218" s="129">
        <v>2490</v>
      </c>
      <c r="U218" s="129">
        <v>18275</v>
      </c>
      <c r="V218" s="130">
        <v>500000</v>
      </c>
      <c r="W218" s="128">
        <v>0</v>
      </c>
      <c r="X218" s="128">
        <v>2</v>
      </c>
      <c r="Y218" s="131" t="str">
        <f ca="1">IF(ISBLANK(BudgetsTable[[#This Row],[budg_seq_yr]]),"FY"&amp;fiscalyear,"FY"&amp;fiscalyear-1+BudgetsTable[[#This Row],[budg_seq_yr]])</f>
        <v>FY19</v>
      </c>
      <c r="Z218" s="129">
        <v>500000</v>
      </c>
      <c r="AA218" s="128" t="s">
        <v>741</v>
      </c>
      <c r="AB218" s="128" t="s">
        <v>901</v>
      </c>
      <c r="AC218" s="126" t="s">
        <v>94</v>
      </c>
      <c r="AD218" s="128" t="s">
        <v>1987</v>
      </c>
    </row>
    <row r="219" spans="1:30">
      <c r="A219" s="125" t="s">
        <v>1278</v>
      </c>
      <c r="B219" s="126" t="s">
        <v>96</v>
      </c>
      <c r="C219" s="126">
        <f>C218+(BudgetsTable[[#This Row],[lead]]&lt;&gt;K218)</f>
        <v>44</v>
      </c>
      <c r="D219" s="126">
        <f>D218*(BudgetsTable[[#This Row],[lead]]=K218)+(BudgetsTable[[#This Row],[prop_id]]&lt;&gt;A218)</f>
        <v>1</v>
      </c>
      <c r="E219" s="127">
        <v>42809.665972222225</v>
      </c>
      <c r="F219" s="128" t="s">
        <v>1965</v>
      </c>
      <c r="G219" s="128" t="s">
        <v>741</v>
      </c>
      <c r="H219" s="128" t="s">
        <v>901</v>
      </c>
      <c r="I219" s="126" t="s">
        <v>540</v>
      </c>
      <c r="J219" s="126" t="s">
        <v>13</v>
      </c>
      <c r="K219" s="128" t="s">
        <v>1278</v>
      </c>
      <c r="L219" s="7" t="str">
        <f>IF(BudgetsTable[[#This Row],[pi_last_name]]=" ","",HYPERLINK("https://www.ejacket.nsf.gov/ej/showProposal.do?Continue=Y&amp;ID="&amp;BudgetsTable[[#This Row],[prop_id]],BudgetsTable[[#This Row],[prop_id]]))</f>
        <v/>
      </c>
      <c r="M219" s="15" t="str">
        <f>IF(BudgetsTable[[#This Row],[pi_last_name]]=" ","",HYPERLINK("https://www.ejacket.nsf.gov/ej/processReviewAnalysis.do?dispatch=add&amp;uniqId="&amp;BudgetsTable[[#This Row],[prop_id]]&amp;PO_id,"&gt;ra"))</f>
        <v/>
      </c>
      <c r="N219" s="128" t="s">
        <v>13</v>
      </c>
      <c r="O219" s="7" t="str">
        <f>IF(BudgetsTable[[#This Row],[pi_last_name]]=" ","",HYPERLINK("mailto:"&amp;BudgetsTable[[#This Row],[pi_email]]&amp;"&amp;subject=Your NSF Proposal:  "&amp;BudgetsTable[[#This Row],[prop_id]],BudgetsTable[[#This Row],[pi_email]]))</f>
        <v/>
      </c>
      <c r="P219" s="128" t="s">
        <v>13</v>
      </c>
      <c r="Q219" s="128">
        <v>5</v>
      </c>
      <c r="R219" s="128">
        <v>8</v>
      </c>
      <c r="S219" s="129">
        <v>0</v>
      </c>
      <c r="T219" s="129">
        <v>0</v>
      </c>
      <c r="U219" s="129">
        <v>18275</v>
      </c>
      <c r="V219" s="130">
        <v>500000</v>
      </c>
      <c r="W219" s="128">
        <v>0</v>
      </c>
      <c r="X219" s="128">
        <v>3</v>
      </c>
      <c r="Y219" s="131" t="str">
        <f ca="1">IF(ISBLANK(BudgetsTable[[#This Row],[budg_seq_yr]]),"FY"&amp;fiscalyear,"FY"&amp;fiscalyear-1+BudgetsTable[[#This Row],[budg_seq_yr]])</f>
        <v>FY20</v>
      </c>
      <c r="Z219" s="129">
        <v>500000</v>
      </c>
      <c r="AA219" s="128" t="s">
        <v>741</v>
      </c>
      <c r="AB219" s="128" t="s">
        <v>901</v>
      </c>
      <c r="AC219" s="126" t="s">
        <v>94</v>
      </c>
      <c r="AD219" s="128" t="s">
        <v>1987</v>
      </c>
    </row>
    <row r="220" spans="1:30">
      <c r="A220" s="125" t="s">
        <v>1285</v>
      </c>
      <c r="B220" s="126" t="s">
        <v>96</v>
      </c>
      <c r="C220" s="126">
        <f>C219+(BudgetsTable[[#This Row],[lead]]&lt;&gt;K219)</f>
        <v>45</v>
      </c>
      <c r="D220" s="126">
        <f>D219*(BudgetsTable[[#This Row],[lead]]=K219)+(BudgetsTable[[#This Row],[prop_id]]&lt;&gt;A219)</f>
        <v>1</v>
      </c>
      <c r="E220" s="127">
        <v>42809.670138888891</v>
      </c>
      <c r="F220" s="128" t="s">
        <v>1965</v>
      </c>
      <c r="G220" s="128" t="s">
        <v>741</v>
      </c>
      <c r="H220" s="128" t="s">
        <v>901</v>
      </c>
      <c r="I220" s="126" t="s">
        <v>948</v>
      </c>
      <c r="J220" s="126" t="s">
        <v>2238</v>
      </c>
      <c r="K220" s="128" t="s">
        <v>1285</v>
      </c>
      <c r="L220" s="7" t="str">
        <f>IF(BudgetsTable[[#This Row],[pi_last_name]]=" ","",HYPERLINK("https://www.ejacket.nsf.gov/ej/showProposal.do?Continue=Y&amp;ID="&amp;BudgetsTable[[#This Row],[prop_id]],BudgetsTable[[#This Row],[prop_id]]))</f>
        <v>1740815</v>
      </c>
      <c r="M220" s="15" t="str">
        <f>IF(BudgetsTable[[#This Row],[pi_last_name]]=" ","",HYPERLINK("https://www.ejacket.nsf.gov/ej/processReviewAnalysis.do?dispatch=add&amp;uniqId="&amp;BudgetsTable[[#This Row],[prop_id]]&amp;PO_id,"&gt;ra"))</f>
        <v>&gt;ra</v>
      </c>
      <c r="N220" s="128" t="s">
        <v>1286</v>
      </c>
      <c r="O220" s="7" t="str">
        <f>IF(BudgetsTable[[#This Row],[pi_last_name]]=" ","",HYPERLINK("mailto:"&amp;BudgetsTable[[#This Row],[pi_email]]&amp;"&amp;subject=Your NSF Proposal:  "&amp;BudgetsTable[[#This Row],[prop_id]],BudgetsTable[[#This Row],[pi_email]]))</f>
        <v>jiang@wald.ucdavis.edu</v>
      </c>
      <c r="P220" s="128" t="s">
        <v>2235</v>
      </c>
      <c r="Q220" s="128"/>
      <c r="R220" s="128"/>
      <c r="S220" s="129"/>
      <c r="T220" s="129"/>
      <c r="U220" s="129"/>
      <c r="V220" s="130"/>
      <c r="W220" s="128">
        <v>0</v>
      </c>
      <c r="X220" s="128"/>
      <c r="Y220" s="131" t="str">
        <f ca="1">IF(ISBLANK(BudgetsTable[[#This Row],[budg_seq_yr]]),"FY"&amp;fiscalyear,"FY"&amp;fiscalyear-1+BudgetsTable[[#This Row],[budg_seq_yr]])</f>
        <v>FY18</v>
      </c>
      <c r="Z220" s="129">
        <v>1498852</v>
      </c>
      <c r="AA220" s="128" t="s">
        <v>741</v>
      </c>
      <c r="AB220" s="128" t="s">
        <v>901</v>
      </c>
      <c r="AC220" s="126" t="s">
        <v>94</v>
      </c>
      <c r="AD220" s="128" t="s">
        <v>2007</v>
      </c>
    </row>
    <row r="221" spans="1:30">
      <c r="A221" s="125" t="s">
        <v>1285</v>
      </c>
      <c r="B221" s="126" t="s">
        <v>96</v>
      </c>
      <c r="C221" s="126">
        <f>C220+(BudgetsTable[[#This Row],[lead]]&lt;&gt;K220)</f>
        <v>45</v>
      </c>
      <c r="D221" s="126">
        <f>D220*(BudgetsTable[[#This Row],[lead]]=K220)+(BudgetsTable[[#This Row],[prop_id]]&lt;&gt;A220)</f>
        <v>1</v>
      </c>
      <c r="E221" s="127">
        <v>42809.670138888891</v>
      </c>
      <c r="F221" s="128" t="s">
        <v>1965</v>
      </c>
      <c r="G221" s="128" t="s">
        <v>741</v>
      </c>
      <c r="H221" s="128" t="s">
        <v>901</v>
      </c>
      <c r="I221" s="126" t="s">
        <v>948</v>
      </c>
      <c r="J221" s="126" t="s">
        <v>13</v>
      </c>
      <c r="K221" s="128" t="s">
        <v>1285</v>
      </c>
      <c r="L221" s="7" t="str">
        <f>IF(BudgetsTable[[#This Row],[pi_last_name]]=" ","",HYPERLINK("https://www.ejacket.nsf.gov/ej/showProposal.do?Continue=Y&amp;ID="&amp;BudgetsTable[[#This Row],[prop_id]],BudgetsTable[[#This Row],[prop_id]]))</f>
        <v/>
      </c>
      <c r="M221" s="15" t="str">
        <f>IF(BudgetsTable[[#This Row],[pi_last_name]]=" ","",HYPERLINK("https://www.ejacket.nsf.gov/ej/processReviewAnalysis.do?dispatch=add&amp;uniqId="&amp;BudgetsTable[[#This Row],[prop_id]]&amp;PO_id,"&gt;ra"))</f>
        <v/>
      </c>
      <c r="N221" s="128" t="s">
        <v>13</v>
      </c>
      <c r="O221" s="7" t="str">
        <f>IF(BudgetsTable[[#This Row],[pi_last_name]]=" ","",HYPERLINK("mailto:"&amp;BudgetsTable[[#This Row],[pi_email]]&amp;"&amp;subject=Your NSF Proposal:  "&amp;BudgetsTable[[#This Row],[prop_id]],BudgetsTable[[#This Row],[pi_email]]))</f>
        <v/>
      </c>
      <c r="P221" s="128" t="s">
        <v>13</v>
      </c>
      <c r="Q221" s="128">
        <v>3</v>
      </c>
      <c r="R221" s="128">
        <v>4</v>
      </c>
      <c r="S221" s="129">
        <v>0</v>
      </c>
      <c r="T221" s="129">
        <v>12000</v>
      </c>
      <c r="U221" s="129">
        <v>0</v>
      </c>
      <c r="V221" s="130">
        <v>448780</v>
      </c>
      <c r="W221" s="128">
        <v>0</v>
      </c>
      <c r="X221" s="128">
        <v>1</v>
      </c>
      <c r="Y221" s="131" t="str">
        <f ca="1">IF(ISBLANK(BudgetsTable[[#This Row],[budg_seq_yr]]),"FY"&amp;fiscalyear,"FY"&amp;fiscalyear-1+BudgetsTable[[#This Row],[budg_seq_yr]])</f>
        <v>FY18</v>
      </c>
      <c r="Z221" s="129">
        <v>448780</v>
      </c>
      <c r="AA221" s="128" t="s">
        <v>741</v>
      </c>
      <c r="AB221" s="128" t="s">
        <v>901</v>
      </c>
      <c r="AC221" s="126" t="s">
        <v>94</v>
      </c>
      <c r="AD221" s="128" t="s">
        <v>2007</v>
      </c>
    </row>
    <row r="222" spans="1:30">
      <c r="A222" s="125" t="s">
        <v>1285</v>
      </c>
      <c r="B222" s="126" t="s">
        <v>96</v>
      </c>
      <c r="C222" s="126">
        <f>C221+(BudgetsTable[[#This Row],[lead]]&lt;&gt;K221)</f>
        <v>45</v>
      </c>
      <c r="D222" s="126">
        <f>D221*(BudgetsTable[[#This Row],[lead]]=K221)+(BudgetsTable[[#This Row],[prop_id]]&lt;&gt;A221)</f>
        <v>1</v>
      </c>
      <c r="E222" s="127">
        <v>42809.670138888891</v>
      </c>
      <c r="F222" s="128" t="s">
        <v>1965</v>
      </c>
      <c r="G222" s="128" t="s">
        <v>741</v>
      </c>
      <c r="H222" s="128" t="s">
        <v>901</v>
      </c>
      <c r="I222" s="126" t="s">
        <v>948</v>
      </c>
      <c r="J222" s="126" t="s">
        <v>13</v>
      </c>
      <c r="K222" s="128" t="s">
        <v>1285</v>
      </c>
      <c r="L222" s="7" t="str">
        <f>IF(BudgetsTable[[#This Row],[pi_last_name]]=" ","",HYPERLINK("https://www.ejacket.nsf.gov/ej/showProposal.do?Continue=Y&amp;ID="&amp;BudgetsTable[[#This Row],[prop_id]],BudgetsTable[[#This Row],[prop_id]]))</f>
        <v/>
      </c>
      <c r="M222" s="15" t="str">
        <f>IF(BudgetsTable[[#This Row],[pi_last_name]]=" ","",HYPERLINK("https://www.ejacket.nsf.gov/ej/processReviewAnalysis.do?dispatch=add&amp;uniqId="&amp;BudgetsTable[[#This Row],[prop_id]]&amp;PO_id,"&gt;ra"))</f>
        <v/>
      </c>
      <c r="N222" s="128" t="s">
        <v>13</v>
      </c>
      <c r="O222" s="7" t="str">
        <f>IF(BudgetsTable[[#This Row],[pi_last_name]]=" ","",HYPERLINK("mailto:"&amp;BudgetsTable[[#This Row],[pi_email]]&amp;"&amp;subject=Your NSF Proposal:  "&amp;BudgetsTable[[#This Row],[prop_id]],BudgetsTable[[#This Row],[pi_email]]))</f>
        <v/>
      </c>
      <c r="P222" s="128" t="s">
        <v>13</v>
      </c>
      <c r="Q222" s="128">
        <v>3</v>
      </c>
      <c r="R222" s="128">
        <v>4</v>
      </c>
      <c r="S222" s="129">
        <v>0</v>
      </c>
      <c r="T222" s="129">
        <v>12000</v>
      </c>
      <c r="U222" s="129">
        <v>0</v>
      </c>
      <c r="V222" s="130">
        <v>491412</v>
      </c>
      <c r="W222" s="128">
        <v>0</v>
      </c>
      <c r="X222" s="128">
        <v>2</v>
      </c>
      <c r="Y222" s="131" t="str">
        <f ca="1">IF(ISBLANK(BudgetsTable[[#This Row],[budg_seq_yr]]),"FY"&amp;fiscalyear,"FY"&amp;fiscalyear-1+BudgetsTable[[#This Row],[budg_seq_yr]])</f>
        <v>FY19</v>
      </c>
      <c r="Z222" s="129">
        <v>491412</v>
      </c>
      <c r="AA222" s="128" t="s">
        <v>741</v>
      </c>
      <c r="AB222" s="128" t="s">
        <v>901</v>
      </c>
      <c r="AC222" s="126" t="s">
        <v>94</v>
      </c>
      <c r="AD222" s="128" t="s">
        <v>2007</v>
      </c>
    </row>
    <row r="223" spans="1:30">
      <c r="A223" s="125" t="s">
        <v>1285</v>
      </c>
      <c r="B223" s="126" t="s">
        <v>96</v>
      </c>
      <c r="C223" s="126">
        <f>C222+(BudgetsTable[[#This Row],[lead]]&lt;&gt;K222)</f>
        <v>45</v>
      </c>
      <c r="D223" s="126">
        <f>D222*(BudgetsTable[[#This Row],[lead]]=K222)+(BudgetsTable[[#This Row],[prop_id]]&lt;&gt;A222)</f>
        <v>1</v>
      </c>
      <c r="E223" s="127">
        <v>42809.670138888891</v>
      </c>
      <c r="F223" s="128" t="s">
        <v>1965</v>
      </c>
      <c r="G223" s="128" t="s">
        <v>741</v>
      </c>
      <c r="H223" s="128" t="s">
        <v>901</v>
      </c>
      <c r="I223" s="126" t="s">
        <v>948</v>
      </c>
      <c r="J223" s="126" t="s">
        <v>13</v>
      </c>
      <c r="K223" s="128" t="s">
        <v>1285</v>
      </c>
      <c r="L223" s="7" t="str">
        <f>IF(BudgetsTable[[#This Row],[pi_last_name]]=" ","",HYPERLINK("https://www.ejacket.nsf.gov/ej/showProposal.do?Continue=Y&amp;ID="&amp;BudgetsTable[[#This Row],[prop_id]],BudgetsTable[[#This Row],[prop_id]]))</f>
        <v/>
      </c>
      <c r="M223" s="15" t="str">
        <f>IF(BudgetsTable[[#This Row],[pi_last_name]]=" ","",HYPERLINK("https://www.ejacket.nsf.gov/ej/processReviewAnalysis.do?dispatch=add&amp;uniqId="&amp;BudgetsTable[[#This Row],[prop_id]]&amp;PO_id,"&gt;ra"))</f>
        <v/>
      </c>
      <c r="N223" s="128" t="s">
        <v>13</v>
      </c>
      <c r="O223" s="7" t="str">
        <f>IF(BudgetsTable[[#This Row],[pi_last_name]]=" ","",HYPERLINK("mailto:"&amp;BudgetsTable[[#This Row],[pi_email]]&amp;"&amp;subject=Your NSF Proposal:  "&amp;BudgetsTable[[#This Row],[prop_id]],BudgetsTable[[#This Row],[pi_email]]))</f>
        <v/>
      </c>
      <c r="P223" s="128" t="s">
        <v>13</v>
      </c>
      <c r="Q223" s="128">
        <v>3</v>
      </c>
      <c r="R223" s="128">
        <v>4</v>
      </c>
      <c r="S223" s="129">
        <v>0</v>
      </c>
      <c r="T223" s="129">
        <v>12000</v>
      </c>
      <c r="U223" s="129">
        <v>0</v>
      </c>
      <c r="V223" s="130">
        <v>558660</v>
      </c>
      <c r="W223" s="128">
        <v>0</v>
      </c>
      <c r="X223" s="128">
        <v>3</v>
      </c>
      <c r="Y223" s="131" t="str">
        <f ca="1">IF(ISBLANK(BudgetsTable[[#This Row],[budg_seq_yr]]),"FY"&amp;fiscalyear,"FY"&amp;fiscalyear-1+BudgetsTable[[#This Row],[budg_seq_yr]])</f>
        <v>FY20</v>
      </c>
      <c r="Z223" s="129">
        <v>558660</v>
      </c>
      <c r="AA223" s="128" t="s">
        <v>741</v>
      </c>
      <c r="AB223" s="128" t="s">
        <v>901</v>
      </c>
      <c r="AC223" s="126" t="s">
        <v>94</v>
      </c>
      <c r="AD223" s="128" t="s">
        <v>2007</v>
      </c>
    </row>
    <row r="224" spans="1:30">
      <c r="A224" s="125" t="s">
        <v>1292</v>
      </c>
      <c r="B224" s="126" t="s">
        <v>96</v>
      </c>
      <c r="C224" s="126">
        <f>C223+(BudgetsTable[[#This Row],[lead]]&lt;&gt;K223)</f>
        <v>46</v>
      </c>
      <c r="D224" s="126">
        <f>D223*(BudgetsTable[[#This Row],[lead]]=K223)+(BudgetsTable[[#This Row],[prop_id]]&lt;&gt;A223)</f>
        <v>1</v>
      </c>
      <c r="E224" s="127">
        <v>42809.672222222223</v>
      </c>
      <c r="F224" s="128" t="s">
        <v>1965</v>
      </c>
      <c r="G224" s="128" t="s">
        <v>741</v>
      </c>
      <c r="H224" s="128" t="s">
        <v>901</v>
      </c>
      <c r="I224" s="126" t="s">
        <v>948</v>
      </c>
      <c r="J224" s="126" t="s">
        <v>2242</v>
      </c>
      <c r="K224" s="128" t="s">
        <v>1292</v>
      </c>
      <c r="L224" s="7" t="str">
        <f>IF(BudgetsTable[[#This Row],[pi_last_name]]=" ","",HYPERLINK("https://www.ejacket.nsf.gov/ej/showProposal.do?Continue=Y&amp;ID="&amp;BudgetsTable[[#This Row],[prop_id]],BudgetsTable[[#This Row],[prop_id]]))</f>
        <v>1740816</v>
      </c>
      <c r="M224" s="15" t="str">
        <f>IF(BudgetsTable[[#This Row],[pi_last_name]]=" ","",HYPERLINK("https://www.ejacket.nsf.gov/ej/processReviewAnalysis.do?dispatch=add&amp;uniqId="&amp;BudgetsTable[[#This Row],[prop_id]]&amp;PO_id,"&gt;ra"))</f>
        <v>&gt;ra</v>
      </c>
      <c r="N224" s="128" t="s">
        <v>1293</v>
      </c>
      <c r="O224" s="7" t="str">
        <f>IF(BudgetsTable[[#This Row],[pi_last_name]]=" ","",HYPERLINK("mailto:"&amp;BudgetsTable[[#This Row],[pi_email]]&amp;"&amp;subject=Your NSF Proposal:  "&amp;BudgetsTable[[#This Row],[prop_id]],BudgetsTable[[#This Row],[pi_email]]))</f>
        <v>hirani@illinois.edu</v>
      </c>
      <c r="P224" s="128" t="s">
        <v>339</v>
      </c>
      <c r="Q224" s="128"/>
      <c r="R224" s="128"/>
      <c r="S224" s="129"/>
      <c r="T224" s="129"/>
      <c r="U224" s="129"/>
      <c r="V224" s="130"/>
      <c r="W224" s="128">
        <v>1</v>
      </c>
      <c r="X224" s="128"/>
      <c r="Y224" s="131" t="str">
        <f ca="1">IF(ISBLANK(BudgetsTable[[#This Row],[budg_seq_yr]]),"FY"&amp;fiscalyear,"FY"&amp;fiscalyear-1+BudgetsTable[[#This Row],[budg_seq_yr]])</f>
        <v>FY18</v>
      </c>
      <c r="Z224" s="129">
        <v>1500000</v>
      </c>
      <c r="AA224" s="128" t="s">
        <v>741</v>
      </c>
      <c r="AB224" s="128" t="s">
        <v>901</v>
      </c>
      <c r="AC224" s="126" t="s">
        <v>94</v>
      </c>
      <c r="AD224" s="128" t="s">
        <v>2007</v>
      </c>
    </row>
    <row r="225" spans="1:30">
      <c r="A225" s="125" t="s">
        <v>1292</v>
      </c>
      <c r="B225" s="126" t="s">
        <v>96</v>
      </c>
      <c r="C225" s="126">
        <f>C224+(BudgetsTable[[#This Row],[lead]]&lt;&gt;K224)</f>
        <v>46</v>
      </c>
      <c r="D225" s="126">
        <f>D224*(BudgetsTable[[#This Row],[lead]]=K224)+(BudgetsTable[[#This Row],[prop_id]]&lt;&gt;A224)</f>
        <v>1</v>
      </c>
      <c r="E225" s="127">
        <v>42809.672222222223</v>
      </c>
      <c r="F225" s="128" t="s">
        <v>1965</v>
      </c>
      <c r="G225" s="128" t="s">
        <v>741</v>
      </c>
      <c r="H225" s="128" t="s">
        <v>901</v>
      </c>
      <c r="I225" s="126" t="s">
        <v>948</v>
      </c>
      <c r="J225" s="126" t="s">
        <v>13</v>
      </c>
      <c r="K225" s="128" t="s">
        <v>1292</v>
      </c>
      <c r="L225" s="7" t="str">
        <f>IF(BudgetsTable[[#This Row],[pi_last_name]]=" ","",HYPERLINK("https://www.ejacket.nsf.gov/ej/showProposal.do?Continue=Y&amp;ID="&amp;BudgetsTable[[#This Row],[prop_id]],BudgetsTable[[#This Row],[prop_id]]))</f>
        <v/>
      </c>
      <c r="M225" s="15" t="str">
        <f>IF(BudgetsTable[[#This Row],[pi_last_name]]=" ","",HYPERLINK("https://www.ejacket.nsf.gov/ej/processReviewAnalysis.do?dispatch=add&amp;uniqId="&amp;BudgetsTable[[#This Row],[prop_id]]&amp;PO_id,"&gt;ra"))</f>
        <v/>
      </c>
      <c r="N225" s="128" t="s">
        <v>13</v>
      </c>
      <c r="O225" s="7" t="str">
        <f>IF(BudgetsTable[[#This Row],[pi_last_name]]=" ","",HYPERLINK("mailto:"&amp;BudgetsTable[[#This Row],[pi_email]]&amp;"&amp;subject=Your NSF Proposal:  "&amp;BudgetsTable[[#This Row],[prop_id]],BudgetsTable[[#This Row],[pi_email]]))</f>
        <v/>
      </c>
      <c r="P225" s="128" t="s">
        <v>13</v>
      </c>
      <c r="Q225" s="128">
        <v>12</v>
      </c>
      <c r="R225" s="128">
        <v>7.75</v>
      </c>
      <c r="S225" s="129">
        <v>0</v>
      </c>
      <c r="T225" s="129">
        <v>20000</v>
      </c>
      <c r="U225" s="129">
        <v>0</v>
      </c>
      <c r="V225" s="130">
        <v>500000</v>
      </c>
      <c r="W225" s="128">
        <v>1</v>
      </c>
      <c r="X225" s="128">
        <v>1</v>
      </c>
      <c r="Y225" s="131" t="str">
        <f ca="1">IF(ISBLANK(BudgetsTable[[#This Row],[budg_seq_yr]]),"FY"&amp;fiscalyear,"FY"&amp;fiscalyear-1+BudgetsTable[[#This Row],[budg_seq_yr]])</f>
        <v>FY18</v>
      </c>
      <c r="Z225" s="129">
        <v>500000</v>
      </c>
      <c r="AA225" s="128" t="s">
        <v>741</v>
      </c>
      <c r="AB225" s="128" t="s">
        <v>901</v>
      </c>
      <c r="AC225" s="126" t="s">
        <v>94</v>
      </c>
      <c r="AD225" s="128" t="s">
        <v>2007</v>
      </c>
    </row>
    <row r="226" spans="1:30">
      <c r="A226" s="125" t="s">
        <v>1292</v>
      </c>
      <c r="B226" s="126" t="s">
        <v>96</v>
      </c>
      <c r="C226" s="126">
        <f>C225+(BudgetsTable[[#This Row],[lead]]&lt;&gt;K225)</f>
        <v>46</v>
      </c>
      <c r="D226" s="126">
        <f>D225*(BudgetsTable[[#This Row],[lead]]=K225)+(BudgetsTable[[#This Row],[prop_id]]&lt;&gt;A225)</f>
        <v>1</v>
      </c>
      <c r="E226" s="127">
        <v>42809.672222222223</v>
      </c>
      <c r="F226" s="128" t="s">
        <v>1965</v>
      </c>
      <c r="G226" s="128" t="s">
        <v>741</v>
      </c>
      <c r="H226" s="128" t="s">
        <v>901</v>
      </c>
      <c r="I226" s="126" t="s">
        <v>948</v>
      </c>
      <c r="J226" s="126" t="s">
        <v>13</v>
      </c>
      <c r="K226" s="128" t="s">
        <v>1292</v>
      </c>
      <c r="L226" s="7" t="str">
        <f>IF(BudgetsTable[[#This Row],[pi_last_name]]=" ","",HYPERLINK("https://www.ejacket.nsf.gov/ej/showProposal.do?Continue=Y&amp;ID="&amp;BudgetsTable[[#This Row],[prop_id]],BudgetsTable[[#This Row],[prop_id]]))</f>
        <v/>
      </c>
      <c r="M226" s="15" t="str">
        <f>IF(BudgetsTable[[#This Row],[pi_last_name]]=" ","",HYPERLINK("https://www.ejacket.nsf.gov/ej/processReviewAnalysis.do?dispatch=add&amp;uniqId="&amp;BudgetsTable[[#This Row],[prop_id]]&amp;PO_id,"&gt;ra"))</f>
        <v/>
      </c>
      <c r="N226" s="128" t="s">
        <v>13</v>
      </c>
      <c r="O226" s="7" t="str">
        <f>IF(BudgetsTable[[#This Row],[pi_last_name]]=" ","",HYPERLINK("mailto:"&amp;BudgetsTable[[#This Row],[pi_email]]&amp;"&amp;subject=Your NSF Proposal:  "&amp;BudgetsTable[[#This Row],[prop_id]],BudgetsTable[[#This Row],[pi_email]]))</f>
        <v/>
      </c>
      <c r="P226" s="128" t="s">
        <v>13</v>
      </c>
      <c r="Q226" s="128">
        <v>9</v>
      </c>
      <c r="R226" s="128">
        <v>2.5</v>
      </c>
      <c r="S226" s="129">
        <v>0</v>
      </c>
      <c r="T226" s="129">
        <v>18000</v>
      </c>
      <c r="U226" s="129">
        <v>52500</v>
      </c>
      <c r="V226" s="130">
        <v>500000</v>
      </c>
      <c r="W226" s="128">
        <v>1</v>
      </c>
      <c r="X226" s="128">
        <v>2</v>
      </c>
      <c r="Y226" s="131" t="str">
        <f ca="1">IF(ISBLANK(BudgetsTable[[#This Row],[budg_seq_yr]]),"FY"&amp;fiscalyear,"FY"&amp;fiscalyear-1+BudgetsTable[[#This Row],[budg_seq_yr]])</f>
        <v>FY19</v>
      </c>
      <c r="Z226" s="129">
        <v>500000</v>
      </c>
      <c r="AA226" s="128" t="s">
        <v>741</v>
      </c>
      <c r="AB226" s="128" t="s">
        <v>901</v>
      </c>
      <c r="AC226" s="126" t="s">
        <v>94</v>
      </c>
      <c r="AD226" s="128" t="s">
        <v>2007</v>
      </c>
    </row>
    <row r="227" spans="1:30">
      <c r="A227" s="125" t="s">
        <v>1292</v>
      </c>
      <c r="B227" s="126" t="s">
        <v>96</v>
      </c>
      <c r="C227" s="126">
        <f>C226+(BudgetsTable[[#This Row],[lead]]&lt;&gt;K226)</f>
        <v>46</v>
      </c>
      <c r="D227" s="126">
        <f>D226*(BudgetsTable[[#This Row],[lead]]=K226)+(BudgetsTable[[#This Row],[prop_id]]&lt;&gt;A226)</f>
        <v>1</v>
      </c>
      <c r="E227" s="127">
        <v>42809.672222222223</v>
      </c>
      <c r="F227" s="128" t="s">
        <v>1965</v>
      </c>
      <c r="G227" s="128" t="s">
        <v>741</v>
      </c>
      <c r="H227" s="128" t="s">
        <v>901</v>
      </c>
      <c r="I227" s="126" t="s">
        <v>948</v>
      </c>
      <c r="J227" s="126" t="s">
        <v>13</v>
      </c>
      <c r="K227" s="128" t="s">
        <v>1292</v>
      </c>
      <c r="L227" s="7" t="str">
        <f>IF(BudgetsTable[[#This Row],[pi_last_name]]=" ","",HYPERLINK("https://www.ejacket.nsf.gov/ej/showProposal.do?Continue=Y&amp;ID="&amp;BudgetsTable[[#This Row],[prop_id]],BudgetsTable[[#This Row],[prop_id]]))</f>
        <v/>
      </c>
      <c r="M227" s="15" t="str">
        <f>IF(BudgetsTable[[#This Row],[pi_last_name]]=" ","",HYPERLINK("https://www.ejacket.nsf.gov/ej/processReviewAnalysis.do?dispatch=add&amp;uniqId="&amp;BudgetsTable[[#This Row],[prop_id]]&amp;PO_id,"&gt;ra"))</f>
        <v/>
      </c>
      <c r="N227" s="128" t="s">
        <v>13</v>
      </c>
      <c r="O227" s="7" t="str">
        <f>IF(BudgetsTable[[#This Row],[pi_last_name]]=" ","",HYPERLINK("mailto:"&amp;BudgetsTable[[#This Row],[pi_email]]&amp;"&amp;subject=Your NSF Proposal:  "&amp;BudgetsTable[[#This Row],[prop_id]],BudgetsTable[[#This Row],[pi_email]]))</f>
        <v/>
      </c>
      <c r="P227" s="128" t="s">
        <v>13</v>
      </c>
      <c r="Q227" s="128">
        <v>9</v>
      </c>
      <c r="R227" s="128">
        <v>2.5</v>
      </c>
      <c r="S227" s="129">
        <v>0</v>
      </c>
      <c r="T227" s="129">
        <v>16000</v>
      </c>
      <c r="U227" s="129">
        <v>52500</v>
      </c>
      <c r="V227" s="130">
        <v>500000</v>
      </c>
      <c r="W227" s="128">
        <v>1</v>
      </c>
      <c r="X227" s="128">
        <v>3</v>
      </c>
      <c r="Y227" s="131" t="str">
        <f ca="1">IF(ISBLANK(BudgetsTable[[#This Row],[budg_seq_yr]]),"FY"&amp;fiscalyear,"FY"&amp;fiscalyear-1+BudgetsTable[[#This Row],[budg_seq_yr]])</f>
        <v>FY20</v>
      </c>
      <c r="Z227" s="129">
        <v>500000</v>
      </c>
      <c r="AA227" s="128" t="s">
        <v>741</v>
      </c>
      <c r="AB227" s="128" t="s">
        <v>901</v>
      </c>
      <c r="AC227" s="126" t="s">
        <v>94</v>
      </c>
      <c r="AD227" s="128" t="s">
        <v>2007</v>
      </c>
    </row>
    <row r="228" spans="1:30">
      <c r="A228" s="125" t="s">
        <v>1300</v>
      </c>
      <c r="B228" s="126" t="s">
        <v>96</v>
      </c>
      <c r="C228" s="126">
        <f>C227+(BudgetsTable[[#This Row],[lead]]&lt;&gt;K227)</f>
        <v>47</v>
      </c>
      <c r="D228" s="126">
        <f>D227*(BudgetsTable[[#This Row],[lead]]=K227)+(BudgetsTable[[#This Row],[prop_id]]&lt;&gt;A227)</f>
        <v>1</v>
      </c>
      <c r="E228" s="127">
        <v>42809.673611111109</v>
      </c>
      <c r="F228" s="128" t="s">
        <v>1965</v>
      </c>
      <c r="G228" s="128" t="s">
        <v>741</v>
      </c>
      <c r="H228" s="128" t="s">
        <v>901</v>
      </c>
      <c r="I228" s="126" t="s">
        <v>948</v>
      </c>
      <c r="J228" s="126" t="s">
        <v>2245</v>
      </c>
      <c r="K228" s="128" t="s">
        <v>1300</v>
      </c>
      <c r="L228" s="7" t="str">
        <f>IF(BudgetsTable[[#This Row],[pi_last_name]]=" ","",HYPERLINK("https://www.ejacket.nsf.gov/ej/showProposal.do?Continue=Y&amp;ID="&amp;BudgetsTable[[#This Row],[prop_id]],BudgetsTable[[#This Row],[prop_id]]))</f>
        <v>1740818</v>
      </c>
      <c r="M228" s="15" t="str">
        <f>IF(BudgetsTable[[#This Row],[pi_last_name]]=" ","",HYPERLINK("https://www.ejacket.nsf.gov/ej/processReviewAnalysis.do?dispatch=add&amp;uniqId="&amp;BudgetsTable[[#This Row],[prop_id]]&amp;PO_id,"&gt;ra"))</f>
        <v>&gt;ra</v>
      </c>
      <c r="N228" s="128" t="s">
        <v>1301</v>
      </c>
      <c r="O228" s="7" t="str">
        <f>IF(BudgetsTable[[#This Row],[pi_last_name]]=" ","",HYPERLINK("mailto:"&amp;BudgetsTable[[#This Row],[pi_email]]&amp;"&amp;subject=Your NSF Proposal:  "&amp;BudgetsTable[[#This Row],[prop_id]],BudgetsTable[[#This Row],[pi_email]]))</f>
        <v>mmcgee@smu.edu</v>
      </c>
      <c r="P228" s="128" t="s">
        <v>833</v>
      </c>
      <c r="Q228" s="128"/>
      <c r="R228" s="128"/>
      <c r="S228" s="129"/>
      <c r="T228" s="129"/>
      <c r="U228" s="129"/>
      <c r="V228" s="130"/>
      <c r="W228" s="128">
        <v>0</v>
      </c>
      <c r="X228" s="128"/>
      <c r="Y228" s="131" t="str">
        <f ca="1">IF(ISBLANK(BudgetsTable[[#This Row],[budg_seq_yr]]),"FY"&amp;fiscalyear,"FY"&amp;fiscalyear-1+BudgetsTable[[#This Row],[budg_seq_yr]])</f>
        <v>FY18</v>
      </c>
      <c r="Z228" s="129">
        <v>1478234</v>
      </c>
      <c r="AA228" s="128" t="s">
        <v>741</v>
      </c>
      <c r="AB228" s="128" t="s">
        <v>901</v>
      </c>
      <c r="AC228" s="126" t="s">
        <v>94</v>
      </c>
      <c r="AD228" s="128" t="s">
        <v>2007</v>
      </c>
    </row>
    <row r="229" spans="1:30">
      <c r="A229" s="125" t="s">
        <v>1300</v>
      </c>
      <c r="B229" s="126" t="s">
        <v>96</v>
      </c>
      <c r="C229" s="126">
        <f>C228+(BudgetsTable[[#This Row],[lead]]&lt;&gt;K228)</f>
        <v>47</v>
      </c>
      <c r="D229" s="126">
        <f>D228*(BudgetsTable[[#This Row],[lead]]=K228)+(BudgetsTable[[#This Row],[prop_id]]&lt;&gt;A228)</f>
        <v>1</v>
      </c>
      <c r="E229" s="127">
        <v>42809.673611111109</v>
      </c>
      <c r="F229" s="128" t="s">
        <v>1965</v>
      </c>
      <c r="G229" s="128" t="s">
        <v>741</v>
      </c>
      <c r="H229" s="128" t="s">
        <v>901</v>
      </c>
      <c r="I229" s="126" t="s">
        <v>948</v>
      </c>
      <c r="J229" s="126" t="s">
        <v>13</v>
      </c>
      <c r="K229" s="128" t="s">
        <v>1300</v>
      </c>
      <c r="L229" s="7" t="str">
        <f>IF(BudgetsTable[[#This Row],[pi_last_name]]=" ","",HYPERLINK("https://www.ejacket.nsf.gov/ej/showProposal.do?Continue=Y&amp;ID="&amp;BudgetsTable[[#This Row],[prop_id]],BudgetsTable[[#This Row],[prop_id]]))</f>
        <v/>
      </c>
      <c r="M229" s="15" t="str">
        <f>IF(BudgetsTable[[#This Row],[pi_last_name]]=" ","",HYPERLINK("https://www.ejacket.nsf.gov/ej/processReviewAnalysis.do?dispatch=add&amp;uniqId="&amp;BudgetsTable[[#This Row],[prop_id]]&amp;PO_id,"&gt;ra"))</f>
        <v/>
      </c>
      <c r="N229" s="128" t="s">
        <v>13</v>
      </c>
      <c r="O229" s="7" t="str">
        <f>IF(BudgetsTable[[#This Row],[pi_last_name]]=" ","",HYPERLINK("mailto:"&amp;BudgetsTable[[#This Row],[pi_email]]&amp;"&amp;subject=Your NSF Proposal:  "&amp;BudgetsTable[[#This Row],[prop_id]],BudgetsTable[[#This Row],[pi_email]]))</f>
        <v/>
      </c>
      <c r="P229" s="128" t="s">
        <v>13</v>
      </c>
      <c r="Q229" s="128">
        <v>6</v>
      </c>
      <c r="R229" s="128">
        <v>5.5</v>
      </c>
      <c r="S229" s="129">
        <v>60000</v>
      </c>
      <c r="T229" s="129">
        <v>0</v>
      </c>
      <c r="U229" s="129">
        <v>0</v>
      </c>
      <c r="V229" s="130">
        <v>484349</v>
      </c>
      <c r="W229" s="128">
        <v>0</v>
      </c>
      <c r="X229" s="128">
        <v>1</v>
      </c>
      <c r="Y229" s="131" t="str">
        <f ca="1">IF(ISBLANK(BudgetsTable[[#This Row],[budg_seq_yr]]),"FY"&amp;fiscalyear,"FY"&amp;fiscalyear-1+BudgetsTable[[#This Row],[budg_seq_yr]])</f>
        <v>FY18</v>
      </c>
      <c r="Z229" s="129">
        <v>484349</v>
      </c>
      <c r="AA229" s="128" t="s">
        <v>741</v>
      </c>
      <c r="AB229" s="128" t="s">
        <v>901</v>
      </c>
      <c r="AC229" s="126" t="s">
        <v>94</v>
      </c>
      <c r="AD229" s="128" t="s">
        <v>2007</v>
      </c>
    </row>
    <row r="230" spans="1:30">
      <c r="A230" s="125" t="s">
        <v>1300</v>
      </c>
      <c r="B230" s="126" t="s">
        <v>96</v>
      </c>
      <c r="C230" s="126">
        <f>C229+(BudgetsTable[[#This Row],[lead]]&lt;&gt;K229)</f>
        <v>47</v>
      </c>
      <c r="D230" s="126">
        <f>D229*(BudgetsTable[[#This Row],[lead]]=K229)+(BudgetsTable[[#This Row],[prop_id]]&lt;&gt;A229)</f>
        <v>1</v>
      </c>
      <c r="E230" s="127">
        <v>42809.673611111109</v>
      </c>
      <c r="F230" s="128" t="s">
        <v>1965</v>
      </c>
      <c r="G230" s="128" t="s">
        <v>741</v>
      </c>
      <c r="H230" s="128" t="s">
        <v>901</v>
      </c>
      <c r="I230" s="126" t="s">
        <v>948</v>
      </c>
      <c r="J230" s="126" t="s">
        <v>13</v>
      </c>
      <c r="K230" s="128" t="s">
        <v>1300</v>
      </c>
      <c r="L230" s="7" t="str">
        <f>IF(BudgetsTable[[#This Row],[pi_last_name]]=" ","",HYPERLINK("https://www.ejacket.nsf.gov/ej/showProposal.do?Continue=Y&amp;ID="&amp;BudgetsTable[[#This Row],[prop_id]],BudgetsTable[[#This Row],[prop_id]]))</f>
        <v/>
      </c>
      <c r="M230" s="15" t="str">
        <f>IF(BudgetsTable[[#This Row],[pi_last_name]]=" ","",HYPERLINK("https://www.ejacket.nsf.gov/ej/processReviewAnalysis.do?dispatch=add&amp;uniqId="&amp;BudgetsTable[[#This Row],[prop_id]]&amp;PO_id,"&gt;ra"))</f>
        <v/>
      </c>
      <c r="N230" s="128" t="s">
        <v>13</v>
      </c>
      <c r="O230" s="7" t="str">
        <f>IF(BudgetsTable[[#This Row],[pi_last_name]]=" ","",HYPERLINK("mailto:"&amp;BudgetsTable[[#This Row],[pi_email]]&amp;"&amp;subject=Your NSF Proposal:  "&amp;BudgetsTable[[#This Row],[prop_id]],BudgetsTable[[#This Row],[pi_email]]))</f>
        <v/>
      </c>
      <c r="P230" s="128" t="s">
        <v>13</v>
      </c>
      <c r="Q230" s="128">
        <v>6</v>
      </c>
      <c r="R230" s="128">
        <v>5.5</v>
      </c>
      <c r="S230" s="129">
        <v>61200</v>
      </c>
      <c r="T230" s="129">
        <v>0</v>
      </c>
      <c r="U230" s="129">
        <v>0</v>
      </c>
      <c r="V230" s="130">
        <v>499556</v>
      </c>
      <c r="W230" s="128">
        <v>0</v>
      </c>
      <c r="X230" s="128">
        <v>2</v>
      </c>
      <c r="Y230" s="131" t="str">
        <f ca="1">IF(ISBLANK(BudgetsTable[[#This Row],[budg_seq_yr]]),"FY"&amp;fiscalyear,"FY"&amp;fiscalyear-1+BudgetsTable[[#This Row],[budg_seq_yr]])</f>
        <v>FY19</v>
      </c>
      <c r="Z230" s="129">
        <v>499556</v>
      </c>
      <c r="AA230" s="128" t="s">
        <v>741</v>
      </c>
      <c r="AB230" s="128" t="s">
        <v>901</v>
      </c>
      <c r="AC230" s="126" t="s">
        <v>94</v>
      </c>
      <c r="AD230" s="128" t="s">
        <v>2007</v>
      </c>
    </row>
    <row r="231" spans="1:30">
      <c r="A231" s="125" t="s">
        <v>1300</v>
      </c>
      <c r="B231" s="126" t="s">
        <v>96</v>
      </c>
      <c r="C231" s="126">
        <f>C230+(BudgetsTable[[#This Row],[lead]]&lt;&gt;K230)</f>
        <v>47</v>
      </c>
      <c r="D231" s="126">
        <f>D230*(BudgetsTable[[#This Row],[lead]]=K230)+(BudgetsTable[[#This Row],[prop_id]]&lt;&gt;A230)</f>
        <v>1</v>
      </c>
      <c r="E231" s="127">
        <v>42809.673611111109</v>
      </c>
      <c r="F231" s="128" t="s">
        <v>1965</v>
      </c>
      <c r="G231" s="128" t="s">
        <v>741</v>
      </c>
      <c r="H231" s="128" t="s">
        <v>901</v>
      </c>
      <c r="I231" s="126" t="s">
        <v>948</v>
      </c>
      <c r="J231" s="126" t="s">
        <v>13</v>
      </c>
      <c r="K231" s="128" t="s">
        <v>1300</v>
      </c>
      <c r="L231" s="7" t="str">
        <f>IF(BudgetsTable[[#This Row],[pi_last_name]]=" ","",HYPERLINK("https://www.ejacket.nsf.gov/ej/showProposal.do?Continue=Y&amp;ID="&amp;BudgetsTable[[#This Row],[prop_id]],BudgetsTable[[#This Row],[prop_id]]))</f>
        <v/>
      </c>
      <c r="M231" s="15" t="str">
        <f>IF(BudgetsTable[[#This Row],[pi_last_name]]=" ","",HYPERLINK("https://www.ejacket.nsf.gov/ej/processReviewAnalysis.do?dispatch=add&amp;uniqId="&amp;BudgetsTable[[#This Row],[prop_id]]&amp;PO_id,"&gt;ra"))</f>
        <v/>
      </c>
      <c r="N231" s="128" t="s">
        <v>13</v>
      </c>
      <c r="O231" s="7" t="str">
        <f>IF(BudgetsTable[[#This Row],[pi_last_name]]=" ","",HYPERLINK("mailto:"&amp;BudgetsTable[[#This Row],[pi_email]]&amp;"&amp;subject=Your NSF Proposal:  "&amp;BudgetsTable[[#This Row],[prop_id]],BudgetsTable[[#This Row],[pi_email]]))</f>
        <v/>
      </c>
      <c r="P231" s="128" t="s">
        <v>13</v>
      </c>
      <c r="Q231" s="128">
        <v>6</v>
      </c>
      <c r="R231" s="128">
        <v>6</v>
      </c>
      <c r="S231" s="129">
        <v>62424</v>
      </c>
      <c r="T231" s="129">
        <v>0</v>
      </c>
      <c r="U231" s="129">
        <v>0</v>
      </c>
      <c r="V231" s="130">
        <v>494329</v>
      </c>
      <c r="W231" s="128">
        <v>0</v>
      </c>
      <c r="X231" s="128">
        <v>3</v>
      </c>
      <c r="Y231" s="131" t="str">
        <f ca="1">IF(ISBLANK(BudgetsTable[[#This Row],[budg_seq_yr]]),"FY"&amp;fiscalyear,"FY"&amp;fiscalyear-1+BudgetsTable[[#This Row],[budg_seq_yr]])</f>
        <v>FY20</v>
      </c>
      <c r="Z231" s="129">
        <v>494329</v>
      </c>
      <c r="AA231" s="128" t="s">
        <v>741</v>
      </c>
      <c r="AB231" s="128" t="s">
        <v>901</v>
      </c>
      <c r="AC231" s="126" t="s">
        <v>94</v>
      </c>
      <c r="AD231" s="128" t="s">
        <v>2007</v>
      </c>
    </row>
    <row r="232" spans="1:30">
      <c r="A232" s="125" t="s">
        <v>1307</v>
      </c>
      <c r="B232" s="126" t="s">
        <v>1981</v>
      </c>
      <c r="C232" s="126">
        <f>C231+(BudgetsTable[[#This Row],[lead]]&lt;&gt;K231)</f>
        <v>48</v>
      </c>
      <c r="D232" s="126">
        <f>D231*(BudgetsTable[[#This Row],[lead]]=K231)+(BudgetsTable[[#This Row],[prop_id]]&lt;&gt;A231)</f>
        <v>1</v>
      </c>
      <c r="E232" s="127">
        <v>42809.682638888888</v>
      </c>
      <c r="F232" s="128" t="s">
        <v>1965</v>
      </c>
      <c r="G232" s="128" t="s">
        <v>741</v>
      </c>
      <c r="H232" s="128" t="s">
        <v>901</v>
      </c>
      <c r="I232" s="126" t="s">
        <v>948</v>
      </c>
      <c r="J232" s="126" t="s">
        <v>2250</v>
      </c>
      <c r="K232" s="128" t="s">
        <v>1307</v>
      </c>
      <c r="L232" s="7" t="str">
        <f>IF(BudgetsTable[[#This Row],[pi_last_name]]=" ","",HYPERLINK("https://www.ejacket.nsf.gov/ej/showProposal.do?Continue=Y&amp;ID="&amp;BudgetsTable[[#This Row],[prop_id]],BudgetsTable[[#This Row],[prop_id]]))</f>
        <v>1740821</v>
      </c>
      <c r="M232" s="15" t="str">
        <f>IF(BudgetsTable[[#This Row],[pi_last_name]]=" ","",HYPERLINK("https://www.ejacket.nsf.gov/ej/processReviewAnalysis.do?dispatch=add&amp;uniqId="&amp;BudgetsTable[[#This Row],[prop_id]]&amp;PO_id,"&gt;ra"))</f>
        <v>&gt;ra</v>
      </c>
      <c r="N232" s="128" t="s">
        <v>1308</v>
      </c>
      <c r="O232" s="7" t="str">
        <f>IF(BudgetsTable[[#This Row],[pi_last_name]]=" ","",HYPERLINK("mailto:"&amp;BudgetsTable[[#This Row],[pi_email]]&amp;"&amp;subject=Your NSF Proposal:  "&amp;BudgetsTable[[#This Row],[prop_id]],BudgetsTable[[#This Row],[pi_email]]))</f>
        <v>vardi@rice.edu</v>
      </c>
      <c r="P232" s="128" t="s">
        <v>2247</v>
      </c>
      <c r="Q232" s="128"/>
      <c r="R232" s="128"/>
      <c r="S232" s="129"/>
      <c r="T232" s="129"/>
      <c r="U232" s="129"/>
      <c r="V232" s="130"/>
      <c r="W232" s="128">
        <v>0</v>
      </c>
      <c r="X232" s="128"/>
      <c r="Y232" s="131" t="str">
        <f ca="1">IF(ISBLANK(BudgetsTable[[#This Row],[budg_seq_yr]]),"FY"&amp;fiscalyear,"FY"&amp;fiscalyear-1+BudgetsTable[[#This Row],[budg_seq_yr]])</f>
        <v>FY18</v>
      </c>
      <c r="Z232" s="129">
        <v>600000</v>
      </c>
      <c r="AA232" s="128" t="s">
        <v>741</v>
      </c>
      <c r="AB232" s="128" t="s">
        <v>901</v>
      </c>
      <c r="AC232" s="126" t="s">
        <v>94</v>
      </c>
      <c r="AD232" s="128" t="s">
        <v>2007</v>
      </c>
    </row>
    <row r="233" spans="1:30">
      <c r="A233" s="125" t="s">
        <v>1307</v>
      </c>
      <c r="B233" s="126" t="s">
        <v>1981</v>
      </c>
      <c r="C233" s="126">
        <f>C232+(BudgetsTable[[#This Row],[lead]]&lt;&gt;K232)</f>
        <v>48</v>
      </c>
      <c r="D233" s="126">
        <f>D232*(BudgetsTable[[#This Row],[lead]]=K232)+(BudgetsTable[[#This Row],[prop_id]]&lt;&gt;A232)</f>
        <v>1</v>
      </c>
      <c r="E233" s="127">
        <v>42809.682638888888</v>
      </c>
      <c r="F233" s="128" t="s">
        <v>1965</v>
      </c>
      <c r="G233" s="128" t="s">
        <v>741</v>
      </c>
      <c r="H233" s="128" t="s">
        <v>901</v>
      </c>
      <c r="I233" s="126" t="s">
        <v>948</v>
      </c>
      <c r="J233" s="126" t="s">
        <v>13</v>
      </c>
      <c r="K233" s="128" t="s">
        <v>1307</v>
      </c>
      <c r="L233" s="7" t="str">
        <f>IF(BudgetsTable[[#This Row],[pi_last_name]]=" ","",HYPERLINK("https://www.ejacket.nsf.gov/ej/showProposal.do?Continue=Y&amp;ID="&amp;BudgetsTable[[#This Row],[prop_id]],BudgetsTable[[#This Row],[prop_id]]))</f>
        <v/>
      </c>
      <c r="M233" s="15" t="str">
        <f>IF(BudgetsTable[[#This Row],[pi_last_name]]=" ","",HYPERLINK("https://www.ejacket.nsf.gov/ej/processReviewAnalysis.do?dispatch=add&amp;uniqId="&amp;BudgetsTable[[#This Row],[prop_id]]&amp;PO_id,"&gt;ra"))</f>
        <v/>
      </c>
      <c r="N233" s="128" t="s">
        <v>13</v>
      </c>
      <c r="O233" s="7" t="str">
        <f>IF(BudgetsTable[[#This Row],[pi_last_name]]=" ","",HYPERLINK("mailto:"&amp;BudgetsTable[[#This Row],[pi_email]]&amp;"&amp;subject=Your NSF Proposal:  "&amp;BudgetsTable[[#This Row],[prop_id]],BudgetsTable[[#This Row],[pi_email]]))</f>
        <v/>
      </c>
      <c r="P233" s="128" t="s">
        <v>13</v>
      </c>
      <c r="Q233" s="128">
        <v>5</v>
      </c>
      <c r="R233" s="128">
        <v>0.28999999999999998</v>
      </c>
      <c r="S233" s="129">
        <v>30000</v>
      </c>
      <c r="T233" s="129">
        <v>0</v>
      </c>
      <c r="U233" s="129">
        <v>0</v>
      </c>
      <c r="V233" s="130">
        <v>185523</v>
      </c>
      <c r="W233" s="128">
        <v>0</v>
      </c>
      <c r="X233" s="128">
        <v>1</v>
      </c>
      <c r="Y233" s="131" t="str">
        <f ca="1">IF(ISBLANK(BudgetsTable[[#This Row],[budg_seq_yr]]),"FY"&amp;fiscalyear,"FY"&amp;fiscalyear-1+BudgetsTable[[#This Row],[budg_seq_yr]])</f>
        <v>FY18</v>
      </c>
      <c r="Z233" s="129">
        <v>185523</v>
      </c>
      <c r="AA233" s="128" t="s">
        <v>741</v>
      </c>
      <c r="AB233" s="128" t="s">
        <v>901</v>
      </c>
      <c r="AC233" s="126" t="s">
        <v>94</v>
      </c>
      <c r="AD233" s="128" t="s">
        <v>2007</v>
      </c>
    </row>
    <row r="234" spans="1:30">
      <c r="A234" s="125" t="s">
        <v>1307</v>
      </c>
      <c r="B234" s="126" t="s">
        <v>1981</v>
      </c>
      <c r="C234" s="126">
        <f>C233+(BudgetsTable[[#This Row],[lead]]&lt;&gt;K233)</f>
        <v>48</v>
      </c>
      <c r="D234" s="126">
        <f>D233*(BudgetsTable[[#This Row],[lead]]=K233)+(BudgetsTable[[#This Row],[prop_id]]&lt;&gt;A233)</f>
        <v>1</v>
      </c>
      <c r="E234" s="127">
        <v>42809.682638888888</v>
      </c>
      <c r="F234" s="128" t="s">
        <v>1965</v>
      </c>
      <c r="G234" s="128" t="s">
        <v>741</v>
      </c>
      <c r="H234" s="128" t="s">
        <v>901</v>
      </c>
      <c r="I234" s="126" t="s">
        <v>948</v>
      </c>
      <c r="J234" s="126" t="s">
        <v>13</v>
      </c>
      <c r="K234" s="128" t="s">
        <v>1307</v>
      </c>
      <c r="L234" s="7" t="str">
        <f>IF(BudgetsTable[[#This Row],[pi_last_name]]=" ","",HYPERLINK("https://www.ejacket.nsf.gov/ej/showProposal.do?Continue=Y&amp;ID="&amp;BudgetsTable[[#This Row],[prop_id]],BudgetsTable[[#This Row],[prop_id]]))</f>
        <v/>
      </c>
      <c r="M234" s="15" t="str">
        <f>IF(BudgetsTable[[#This Row],[pi_last_name]]=" ","",HYPERLINK("https://www.ejacket.nsf.gov/ej/processReviewAnalysis.do?dispatch=add&amp;uniqId="&amp;BudgetsTable[[#This Row],[prop_id]]&amp;PO_id,"&gt;ra"))</f>
        <v/>
      </c>
      <c r="N234" s="128" t="s">
        <v>13</v>
      </c>
      <c r="O234" s="7" t="str">
        <f>IF(BudgetsTable[[#This Row],[pi_last_name]]=" ","",HYPERLINK("mailto:"&amp;BudgetsTable[[#This Row],[pi_email]]&amp;"&amp;subject=Your NSF Proposal:  "&amp;BudgetsTable[[#This Row],[prop_id]],BudgetsTable[[#This Row],[pi_email]]))</f>
        <v/>
      </c>
      <c r="P234" s="128" t="s">
        <v>13</v>
      </c>
      <c r="Q234" s="128">
        <v>5</v>
      </c>
      <c r="R234" s="128">
        <v>0.28999999999999998</v>
      </c>
      <c r="S234" s="129">
        <v>30900</v>
      </c>
      <c r="T234" s="129">
        <v>0</v>
      </c>
      <c r="U234" s="129">
        <v>0</v>
      </c>
      <c r="V234" s="130">
        <v>202616</v>
      </c>
      <c r="W234" s="128">
        <v>0</v>
      </c>
      <c r="X234" s="128">
        <v>2</v>
      </c>
      <c r="Y234" s="131" t="str">
        <f ca="1">IF(ISBLANK(BudgetsTable[[#This Row],[budg_seq_yr]]),"FY"&amp;fiscalyear,"FY"&amp;fiscalyear-1+BudgetsTable[[#This Row],[budg_seq_yr]])</f>
        <v>FY19</v>
      </c>
      <c r="Z234" s="129">
        <v>202616</v>
      </c>
      <c r="AA234" s="128" t="s">
        <v>741</v>
      </c>
      <c r="AB234" s="128" t="s">
        <v>901</v>
      </c>
      <c r="AC234" s="126" t="s">
        <v>94</v>
      </c>
      <c r="AD234" s="128" t="s">
        <v>2007</v>
      </c>
    </row>
    <row r="235" spans="1:30">
      <c r="A235" s="125" t="s">
        <v>1307</v>
      </c>
      <c r="B235" s="126" t="s">
        <v>1981</v>
      </c>
      <c r="C235" s="126">
        <f>C234+(BudgetsTable[[#This Row],[lead]]&lt;&gt;K234)</f>
        <v>48</v>
      </c>
      <c r="D235" s="126">
        <f>D234*(BudgetsTable[[#This Row],[lead]]=K234)+(BudgetsTable[[#This Row],[prop_id]]&lt;&gt;A234)</f>
        <v>1</v>
      </c>
      <c r="E235" s="127">
        <v>42809.682638888888</v>
      </c>
      <c r="F235" s="128" t="s">
        <v>1965</v>
      </c>
      <c r="G235" s="128" t="s">
        <v>741</v>
      </c>
      <c r="H235" s="128" t="s">
        <v>901</v>
      </c>
      <c r="I235" s="126" t="s">
        <v>948</v>
      </c>
      <c r="J235" s="126" t="s">
        <v>13</v>
      </c>
      <c r="K235" s="128" t="s">
        <v>1307</v>
      </c>
      <c r="L235" s="7" t="str">
        <f>IF(BudgetsTable[[#This Row],[pi_last_name]]=" ","",HYPERLINK("https://www.ejacket.nsf.gov/ej/showProposal.do?Continue=Y&amp;ID="&amp;BudgetsTable[[#This Row],[prop_id]],BudgetsTable[[#This Row],[prop_id]]))</f>
        <v/>
      </c>
      <c r="M235" s="15" t="str">
        <f>IF(BudgetsTable[[#This Row],[pi_last_name]]=" ","",HYPERLINK("https://www.ejacket.nsf.gov/ej/processReviewAnalysis.do?dispatch=add&amp;uniqId="&amp;BudgetsTable[[#This Row],[prop_id]]&amp;PO_id,"&gt;ra"))</f>
        <v/>
      </c>
      <c r="N235" s="128" t="s">
        <v>13</v>
      </c>
      <c r="O235" s="7" t="str">
        <f>IF(BudgetsTable[[#This Row],[pi_last_name]]=" ","",HYPERLINK("mailto:"&amp;BudgetsTable[[#This Row],[pi_email]]&amp;"&amp;subject=Your NSF Proposal:  "&amp;BudgetsTable[[#This Row],[prop_id]],BudgetsTable[[#This Row],[pi_email]]))</f>
        <v/>
      </c>
      <c r="P235" s="128" t="s">
        <v>13</v>
      </c>
      <c r="Q235" s="128">
        <v>5</v>
      </c>
      <c r="R235" s="128">
        <v>0.28999999999999998</v>
      </c>
      <c r="S235" s="129">
        <v>31827</v>
      </c>
      <c r="T235" s="129">
        <v>0</v>
      </c>
      <c r="U235" s="129">
        <v>0</v>
      </c>
      <c r="V235" s="130">
        <v>211861</v>
      </c>
      <c r="W235" s="128">
        <v>0</v>
      </c>
      <c r="X235" s="128">
        <v>3</v>
      </c>
      <c r="Y235" s="131" t="str">
        <f ca="1">IF(ISBLANK(BudgetsTable[[#This Row],[budg_seq_yr]]),"FY"&amp;fiscalyear,"FY"&amp;fiscalyear-1+BudgetsTable[[#This Row],[budg_seq_yr]])</f>
        <v>FY20</v>
      </c>
      <c r="Z235" s="129">
        <v>211861</v>
      </c>
      <c r="AA235" s="128" t="s">
        <v>741</v>
      </c>
      <c r="AB235" s="128" t="s">
        <v>901</v>
      </c>
      <c r="AC235" s="126" t="s">
        <v>94</v>
      </c>
      <c r="AD235" s="128" t="s">
        <v>2007</v>
      </c>
    </row>
    <row r="236" spans="1:30">
      <c r="A236" s="125" t="s">
        <v>1311</v>
      </c>
      <c r="B236" s="126" t="s">
        <v>1989</v>
      </c>
      <c r="C236" s="126">
        <f>C235+(BudgetsTable[[#This Row],[lead]]&lt;&gt;K235)</f>
        <v>48</v>
      </c>
      <c r="D236" s="126">
        <f>D235*(BudgetsTable[[#This Row],[lead]]=K235)+(BudgetsTable[[#This Row],[prop_id]]&lt;&gt;A235)</f>
        <v>2</v>
      </c>
      <c r="E236" s="127">
        <v>42809.529861111114</v>
      </c>
      <c r="F236" s="128" t="s">
        <v>1965</v>
      </c>
      <c r="G236" s="128" t="s">
        <v>741</v>
      </c>
      <c r="H236" s="128" t="s">
        <v>901</v>
      </c>
      <c r="I236" s="126" t="s">
        <v>948</v>
      </c>
      <c r="J236" s="126" t="s">
        <v>2253</v>
      </c>
      <c r="K236" s="128" t="s">
        <v>1307</v>
      </c>
      <c r="L236" s="7" t="str">
        <f>IF(BudgetsTable[[#This Row],[pi_last_name]]=" ","",HYPERLINK("https://www.ejacket.nsf.gov/ej/showProposal.do?Continue=Y&amp;ID="&amp;BudgetsTable[[#This Row],[prop_id]],BudgetsTable[[#This Row],[prop_id]]))</f>
        <v>1740755</v>
      </c>
      <c r="M236" s="15" t="str">
        <f>IF(BudgetsTable[[#This Row],[pi_last_name]]=" ","",HYPERLINK("https://www.ejacket.nsf.gov/ej/processReviewAnalysis.do?dispatch=add&amp;uniqId="&amp;BudgetsTable[[#This Row],[prop_id]]&amp;PO_id,"&gt;ra"))</f>
        <v>&gt;ra</v>
      </c>
      <c r="N236" s="128" t="s">
        <v>1310</v>
      </c>
      <c r="O236" s="7" t="str">
        <f>IF(BudgetsTable[[#This Row],[pi_last_name]]=" ","",HYPERLINK("mailto:"&amp;BudgetsTable[[#This Row],[pi_email]]&amp;"&amp;subject=Your NSF Proposal:  "&amp;BudgetsTable[[#This Row],[prop_id]],BudgetsTable[[#This Row],[pi_email]]))</f>
        <v>bmallick@stat.tamu.edu</v>
      </c>
      <c r="P236" s="128" t="s">
        <v>2252</v>
      </c>
      <c r="Q236" s="128"/>
      <c r="R236" s="128"/>
      <c r="S236" s="129"/>
      <c r="T236" s="129"/>
      <c r="U236" s="129"/>
      <c r="V236" s="130"/>
      <c r="W236" s="128">
        <v>0</v>
      </c>
      <c r="X236" s="128"/>
      <c r="Y236" s="131" t="str">
        <f ca="1">IF(ISBLANK(BudgetsTable[[#This Row],[budg_seq_yr]]),"FY"&amp;fiscalyear,"FY"&amp;fiscalyear-1+BudgetsTable[[#This Row],[budg_seq_yr]])</f>
        <v>FY18</v>
      </c>
      <c r="Z236" s="129">
        <v>450000</v>
      </c>
      <c r="AA236" s="128" t="s">
        <v>741</v>
      </c>
      <c r="AB236" s="128" t="s">
        <v>901</v>
      </c>
      <c r="AC236" s="126" t="s">
        <v>94</v>
      </c>
      <c r="AD236" s="128" t="s">
        <v>2007</v>
      </c>
    </row>
    <row r="237" spans="1:30">
      <c r="A237" s="125" t="s">
        <v>1311</v>
      </c>
      <c r="B237" s="126" t="s">
        <v>1989</v>
      </c>
      <c r="C237" s="126">
        <f>C236+(BudgetsTable[[#This Row],[lead]]&lt;&gt;K236)</f>
        <v>48</v>
      </c>
      <c r="D237" s="126">
        <f>D236*(BudgetsTable[[#This Row],[lead]]=K236)+(BudgetsTable[[#This Row],[prop_id]]&lt;&gt;A236)</f>
        <v>2</v>
      </c>
      <c r="E237" s="127">
        <v>42809.529861111114</v>
      </c>
      <c r="F237" s="128" t="s">
        <v>1965</v>
      </c>
      <c r="G237" s="128" t="s">
        <v>741</v>
      </c>
      <c r="H237" s="128" t="s">
        <v>901</v>
      </c>
      <c r="I237" s="126" t="s">
        <v>948</v>
      </c>
      <c r="J237" s="126" t="s">
        <v>13</v>
      </c>
      <c r="K237" s="128" t="s">
        <v>1307</v>
      </c>
      <c r="L237" s="7" t="str">
        <f>IF(BudgetsTable[[#This Row],[pi_last_name]]=" ","",HYPERLINK("https://www.ejacket.nsf.gov/ej/showProposal.do?Continue=Y&amp;ID="&amp;BudgetsTable[[#This Row],[prop_id]],BudgetsTable[[#This Row],[prop_id]]))</f>
        <v/>
      </c>
      <c r="M237" s="15" t="str">
        <f>IF(BudgetsTable[[#This Row],[pi_last_name]]=" ","",HYPERLINK("https://www.ejacket.nsf.gov/ej/processReviewAnalysis.do?dispatch=add&amp;uniqId="&amp;BudgetsTable[[#This Row],[prop_id]]&amp;PO_id,"&gt;ra"))</f>
        <v/>
      </c>
      <c r="N237" s="128" t="s">
        <v>13</v>
      </c>
      <c r="O237" s="7" t="str">
        <f>IF(BudgetsTable[[#This Row],[pi_last_name]]=" ","",HYPERLINK("mailto:"&amp;BudgetsTable[[#This Row],[pi_email]]&amp;"&amp;subject=Your NSF Proposal:  "&amp;BudgetsTable[[#This Row],[prop_id]],BudgetsTable[[#This Row],[pi_email]]))</f>
        <v/>
      </c>
      <c r="P237" s="128" t="s">
        <v>13</v>
      </c>
      <c r="Q237" s="128">
        <v>5</v>
      </c>
      <c r="R237" s="128">
        <v>0</v>
      </c>
      <c r="S237" s="129">
        <v>22500</v>
      </c>
      <c r="T237" s="129">
        <v>0</v>
      </c>
      <c r="U237" s="129">
        <v>0</v>
      </c>
      <c r="V237" s="130">
        <v>150000</v>
      </c>
      <c r="W237" s="128">
        <v>0</v>
      </c>
      <c r="X237" s="128">
        <v>1</v>
      </c>
      <c r="Y237" s="131" t="str">
        <f ca="1">IF(ISBLANK(BudgetsTable[[#This Row],[budg_seq_yr]]),"FY"&amp;fiscalyear,"FY"&amp;fiscalyear-1+BudgetsTable[[#This Row],[budg_seq_yr]])</f>
        <v>FY18</v>
      </c>
      <c r="Z237" s="129">
        <v>150000</v>
      </c>
      <c r="AA237" s="128" t="s">
        <v>741</v>
      </c>
      <c r="AB237" s="128" t="s">
        <v>901</v>
      </c>
      <c r="AC237" s="126" t="s">
        <v>94</v>
      </c>
      <c r="AD237" s="128" t="s">
        <v>2007</v>
      </c>
    </row>
    <row r="238" spans="1:30">
      <c r="A238" s="125" t="s">
        <v>1311</v>
      </c>
      <c r="B238" s="126" t="s">
        <v>1989</v>
      </c>
      <c r="C238" s="126">
        <f>C237+(BudgetsTable[[#This Row],[lead]]&lt;&gt;K237)</f>
        <v>48</v>
      </c>
      <c r="D238" s="126">
        <f>D237*(BudgetsTable[[#This Row],[lead]]=K237)+(BudgetsTable[[#This Row],[prop_id]]&lt;&gt;A237)</f>
        <v>2</v>
      </c>
      <c r="E238" s="127">
        <v>42809.529861111114</v>
      </c>
      <c r="F238" s="128" t="s">
        <v>1965</v>
      </c>
      <c r="G238" s="128" t="s">
        <v>741</v>
      </c>
      <c r="H238" s="128" t="s">
        <v>901</v>
      </c>
      <c r="I238" s="126" t="s">
        <v>948</v>
      </c>
      <c r="J238" s="126" t="s">
        <v>13</v>
      </c>
      <c r="K238" s="128" t="s">
        <v>1307</v>
      </c>
      <c r="L238" s="7" t="str">
        <f>IF(BudgetsTable[[#This Row],[pi_last_name]]=" ","",HYPERLINK("https://www.ejacket.nsf.gov/ej/showProposal.do?Continue=Y&amp;ID="&amp;BudgetsTable[[#This Row],[prop_id]],BudgetsTable[[#This Row],[prop_id]]))</f>
        <v/>
      </c>
      <c r="M238" s="15" t="str">
        <f>IF(BudgetsTable[[#This Row],[pi_last_name]]=" ","",HYPERLINK("https://www.ejacket.nsf.gov/ej/processReviewAnalysis.do?dispatch=add&amp;uniqId="&amp;BudgetsTable[[#This Row],[prop_id]]&amp;PO_id,"&gt;ra"))</f>
        <v/>
      </c>
      <c r="N238" s="128" t="s">
        <v>13</v>
      </c>
      <c r="O238" s="7" t="str">
        <f>IF(BudgetsTable[[#This Row],[pi_last_name]]=" ","",HYPERLINK("mailto:"&amp;BudgetsTable[[#This Row],[pi_email]]&amp;"&amp;subject=Your NSF Proposal:  "&amp;BudgetsTable[[#This Row],[prop_id]],BudgetsTable[[#This Row],[pi_email]]))</f>
        <v/>
      </c>
      <c r="P238" s="128" t="s">
        <v>13</v>
      </c>
      <c r="Q238" s="128">
        <v>5</v>
      </c>
      <c r="R238" s="128">
        <v>0</v>
      </c>
      <c r="S238" s="129">
        <v>18540</v>
      </c>
      <c r="T238" s="129">
        <v>0</v>
      </c>
      <c r="U238" s="129">
        <v>0</v>
      </c>
      <c r="V238" s="130">
        <v>150000</v>
      </c>
      <c r="W238" s="128">
        <v>0</v>
      </c>
      <c r="X238" s="128">
        <v>2</v>
      </c>
      <c r="Y238" s="131" t="str">
        <f ca="1">IF(ISBLANK(BudgetsTable[[#This Row],[budg_seq_yr]]),"FY"&amp;fiscalyear,"FY"&amp;fiscalyear-1+BudgetsTable[[#This Row],[budg_seq_yr]])</f>
        <v>FY19</v>
      </c>
      <c r="Z238" s="129">
        <v>150000</v>
      </c>
      <c r="AA238" s="128" t="s">
        <v>741</v>
      </c>
      <c r="AB238" s="128" t="s">
        <v>901</v>
      </c>
      <c r="AC238" s="126" t="s">
        <v>94</v>
      </c>
      <c r="AD238" s="128" t="s">
        <v>2007</v>
      </c>
    </row>
    <row r="239" spans="1:30">
      <c r="A239" s="125" t="s">
        <v>1311</v>
      </c>
      <c r="B239" s="126" t="s">
        <v>1989</v>
      </c>
      <c r="C239" s="126">
        <f>C238+(BudgetsTable[[#This Row],[lead]]&lt;&gt;K238)</f>
        <v>48</v>
      </c>
      <c r="D239" s="126">
        <f>D238*(BudgetsTable[[#This Row],[lead]]=K238)+(BudgetsTable[[#This Row],[prop_id]]&lt;&gt;A238)</f>
        <v>2</v>
      </c>
      <c r="E239" s="127">
        <v>42809.529861111114</v>
      </c>
      <c r="F239" s="128" t="s">
        <v>1965</v>
      </c>
      <c r="G239" s="128" t="s">
        <v>741</v>
      </c>
      <c r="H239" s="128" t="s">
        <v>901</v>
      </c>
      <c r="I239" s="126" t="s">
        <v>948</v>
      </c>
      <c r="J239" s="126" t="s">
        <v>13</v>
      </c>
      <c r="K239" s="128" t="s">
        <v>1307</v>
      </c>
      <c r="L239" s="7" t="str">
        <f>IF(BudgetsTable[[#This Row],[pi_last_name]]=" ","",HYPERLINK("https://www.ejacket.nsf.gov/ej/showProposal.do?Continue=Y&amp;ID="&amp;BudgetsTable[[#This Row],[prop_id]],BudgetsTable[[#This Row],[prop_id]]))</f>
        <v/>
      </c>
      <c r="M239" s="15" t="str">
        <f>IF(BudgetsTable[[#This Row],[pi_last_name]]=" ","",HYPERLINK("https://www.ejacket.nsf.gov/ej/processReviewAnalysis.do?dispatch=add&amp;uniqId="&amp;BudgetsTable[[#This Row],[prop_id]]&amp;PO_id,"&gt;ra"))</f>
        <v/>
      </c>
      <c r="N239" s="128" t="s">
        <v>13</v>
      </c>
      <c r="O239" s="7" t="str">
        <f>IF(BudgetsTable[[#This Row],[pi_last_name]]=" ","",HYPERLINK("mailto:"&amp;BudgetsTable[[#This Row],[pi_email]]&amp;"&amp;subject=Your NSF Proposal:  "&amp;BudgetsTable[[#This Row],[prop_id]],BudgetsTable[[#This Row],[pi_email]]))</f>
        <v/>
      </c>
      <c r="P239" s="128" t="s">
        <v>13</v>
      </c>
      <c r="Q239" s="128">
        <v>5</v>
      </c>
      <c r="R239" s="128">
        <v>0</v>
      </c>
      <c r="S239" s="129">
        <v>14319</v>
      </c>
      <c r="T239" s="129">
        <v>0</v>
      </c>
      <c r="U239" s="129">
        <v>0</v>
      </c>
      <c r="V239" s="130">
        <v>150000</v>
      </c>
      <c r="W239" s="128">
        <v>0</v>
      </c>
      <c r="X239" s="128">
        <v>3</v>
      </c>
      <c r="Y239" s="131" t="str">
        <f ca="1">IF(ISBLANK(BudgetsTable[[#This Row],[budg_seq_yr]]),"FY"&amp;fiscalyear,"FY"&amp;fiscalyear-1+BudgetsTable[[#This Row],[budg_seq_yr]])</f>
        <v>FY20</v>
      </c>
      <c r="Z239" s="129">
        <v>150000</v>
      </c>
      <c r="AA239" s="128" t="s">
        <v>741</v>
      </c>
      <c r="AB239" s="128" t="s">
        <v>901</v>
      </c>
      <c r="AC239" s="126" t="s">
        <v>94</v>
      </c>
      <c r="AD239" s="128" t="s">
        <v>2007</v>
      </c>
    </row>
    <row r="240" spans="1:30">
      <c r="A240" s="125" t="s">
        <v>1314</v>
      </c>
      <c r="B240" s="126" t="s">
        <v>1989</v>
      </c>
      <c r="C240" s="126">
        <f>C239+(BudgetsTable[[#This Row],[lead]]&lt;&gt;K239)</f>
        <v>48</v>
      </c>
      <c r="D240" s="126">
        <f>D239*(BudgetsTable[[#This Row],[lead]]=K239)+(BudgetsTable[[#This Row],[prop_id]]&lt;&gt;A239)</f>
        <v>3</v>
      </c>
      <c r="E240" s="127">
        <v>42809.67291666667</v>
      </c>
      <c r="F240" s="128" t="s">
        <v>1965</v>
      </c>
      <c r="G240" s="128" t="s">
        <v>741</v>
      </c>
      <c r="H240" s="128" t="s">
        <v>901</v>
      </c>
      <c r="I240" s="126" t="s">
        <v>948</v>
      </c>
      <c r="J240" s="126" t="s">
        <v>2255</v>
      </c>
      <c r="K240" s="128" t="s">
        <v>1307</v>
      </c>
      <c r="L240" s="7" t="str">
        <f>IF(BudgetsTable[[#This Row],[pi_last_name]]=" ","",HYPERLINK("https://www.ejacket.nsf.gov/ej/showProposal.do?Continue=Y&amp;ID="&amp;BudgetsTable[[#This Row],[prop_id]],BudgetsTable[[#This Row],[prop_id]]))</f>
        <v>1740817</v>
      </c>
      <c r="M240" s="15" t="str">
        <f>IF(BudgetsTable[[#This Row],[pi_last_name]]=" ","",HYPERLINK("https://www.ejacket.nsf.gov/ej/processReviewAnalysis.do?dispatch=add&amp;uniqId="&amp;BudgetsTable[[#This Row],[prop_id]]&amp;PO_id,"&gt;ra"))</f>
        <v>&gt;ra</v>
      </c>
      <c r="N240" s="128" t="s">
        <v>1313</v>
      </c>
      <c r="O240" s="7" t="str">
        <f>IF(BudgetsTable[[#This Row],[pi_last_name]]=" ","",HYPERLINK("mailto:"&amp;BudgetsTable[[#This Row],[pi_email]]&amp;"&amp;subject=Your NSF Proposal:  "&amp;BudgetsTable[[#This Row],[prop_id]],BudgetsTable[[#This Row],[pi_email]]))</f>
        <v>inderjit@cs.utexas.edu</v>
      </c>
      <c r="P240" s="128" t="s">
        <v>799</v>
      </c>
      <c r="Q240" s="128"/>
      <c r="R240" s="128"/>
      <c r="S240" s="129"/>
      <c r="T240" s="129"/>
      <c r="U240" s="129"/>
      <c r="V240" s="130"/>
      <c r="W240" s="128">
        <v>0</v>
      </c>
      <c r="X240" s="128"/>
      <c r="Y240" s="131" t="str">
        <f ca="1">IF(ISBLANK(BudgetsTable[[#This Row],[budg_seq_yr]]),"FY"&amp;fiscalyear,"FY"&amp;fiscalyear-1+BudgetsTable[[#This Row],[budg_seq_yr]])</f>
        <v>FY18</v>
      </c>
      <c r="Z240" s="129">
        <v>450000</v>
      </c>
      <c r="AA240" s="128" t="s">
        <v>741</v>
      </c>
      <c r="AB240" s="128" t="s">
        <v>901</v>
      </c>
      <c r="AC240" s="126" t="s">
        <v>94</v>
      </c>
      <c r="AD240" s="128" t="s">
        <v>2007</v>
      </c>
    </row>
    <row r="241" spans="1:30">
      <c r="A241" s="125" t="s">
        <v>1314</v>
      </c>
      <c r="B241" s="126" t="s">
        <v>1989</v>
      </c>
      <c r="C241" s="126">
        <f>C240+(BudgetsTable[[#This Row],[lead]]&lt;&gt;K240)</f>
        <v>48</v>
      </c>
      <c r="D241" s="126">
        <f>D240*(BudgetsTable[[#This Row],[lead]]=K240)+(BudgetsTable[[#This Row],[prop_id]]&lt;&gt;A240)</f>
        <v>3</v>
      </c>
      <c r="E241" s="127">
        <v>42809.67291666667</v>
      </c>
      <c r="F241" s="128" t="s">
        <v>1965</v>
      </c>
      <c r="G241" s="128" t="s">
        <v>741</v>
      </c>
      <c r="H241" s="128" t="s">
        <v>901</v>
      </c>
      <c r="I241" s="126" t="s">
        <v>948</v>
      </c>
      <c r="J241" s="126" t="s">
        <v>13</v>
      </c>
      <c r="K241" s="128" t="s">
        <v>1307</v>
      </c>
      <c r="L241" s="7" t="str">
        <f>IF(BudgetsTable[[#This Row],[pi_last_name]]=" ","",HYPERLINK("https://www.ejacket.nsf.gov/ej/showProposal.do?Continue=Y&amp;ID="&amp;BudgetsTable[[#This Row],[prop_id]],BudgetsTable[[#This Row],[prop_id]]))</f>
        <v/>
      </c>
      <c r="M241" s="15" t="str">
        <f>IF(BudgetsTable[[#This Row],[pi_last_name]]=" ","",HYPERLINK("https://www.ejacket.nsf.gov/ej/processReviewAnalysis.do?dispatch=add&amp;uniqId="&amp;BudgetsTable[[#This Row],[prop_id]]&amp;PO_id,"&gt;ra"))</f>
        <v/>
      </c>
      <c r="N241" s="128" t="s">
        <v>13</v>
      </c>
      <c r="O241" s="7" t="str">
        <f>IF(BudgetsTable[[#This Row],[pi_last_name]]=" ","",HYPERLINK("mailto:"&amp;BudgetsTable[[#This Row],[pi_email]]&amp;"&amp;subject=Your NSF Proposal:  "&amp;BudgetsTable[[#This Row],[prop_id]],BudgetsTable[[#This Row],[pi_email]]))</f>
        <v/>
      </c>
      <c r="P241" s="128" t="s">
        <v>13</v>
      </c>
      <c r="Q241" s="128">
        <v>5</v>
      </c>
      <c r="R241" s="128">
        <v>0.6</v>
      </c>
      <c r="S241" s="129">
        <v>60000</v>
      </c>
      <c r="T241" s="129">
        <v>0</v>
      </c>
      <c r="U241" s="129">
        <v>0</v>
      </c>
      <c r="V241" s="130">
        <v>177935</v>
      </c>
      <c r="W241" s="128">
        <v>0</v>
      </c>
      <c r="X241" s="128">
        <v>1</v>
      </c>
      <c r="Y241" s="131" t="str">
        <f ca="1">IF(ISBLANK(BudgetsTable[[#This Row],[budg_seq_yr]]),"FY"&amp;fiscalyear,"FY"&amp;fiscalyear-1+BudgetsTable[[#This Row],[budg_seq_yr]])</f>
        <v>FY18</v>
      </c>
      <c r="Z241" s="129">
        <v>177935</v>
      </c>
      <c r="AA241" s="128" t="s">
        <v>741</v>
      </c>
      <c r="AB241" s="128" t="s">
        <v>901</v>
      </c>
      <c r="AC241" s="126" t="s">
        <v>94</v>
      </c>
      <c r="AD241" s="128" t="s">
        <v>2007</v>
      </c>
    </row>
    <row r="242" spans="1:30">
      <c r="A242" s="125" t="s">
        <v>1314</v>
      </c>
      <c r="B242" s="126" t="s">
        <v>1989</v>
      </c>
      <c r="C242" s="126">
        <f>C241+(BudgetsTable[[#This Row],[lead]]&lt;&gt;K241)</f>
        <v>48</v>
      </c>
      <c r="D242" s="126">
        <f>D241*(BudgetsTable[[#This Row],[lead]]=K241)+(BudgetsTable[[#This Row],[prop_id]]&lt;&gt;A241)</f>
        <v>3</v>
      </c>
      <c r="E242" s="127">
        <v>42809.67291666667</v>
      </c>
      <c r="F242" s="128" t="s">
        <v>1965</v>
      </c>
      <c r="G242" s="128" t="s">
        <v>741</v>
      </c>
      <c r="H242" s="128" t="s">
        <v>901</v>
      </c>
      <c r="I242" s="126" t="s">
        <v>948</v>
      </c>
      <c r="J242" s="126" t="s">
        <v>13</v>
      </c>
      <c r="K242" s="128" t="s">
        <v>1307</v>
      </c>
      <c r="L242" s="7" t="str">
        <f>IF(BudgetsTable[[#This Row],[pi_last_name]]=" ","",HYPERLINK("https://www.ejacket.nsf.gov/ej/showProposal.do?Continue=Y&amp;ID="&amp;BudgetsTable[[#This Row],[prop_id]],BudgetsTable[[#This Row],[prop_id]]))</f>
        <v/>
      </c>
      <c r="M242" s="15" t="str">
        <f>IF(BudgetsTable[[#This Row],[pi_last_name]]=" ","",HYPERLINK("https://www.ejacket.nsf.gov/ej/processReviewAnalysis.do?dispatch=add&amp;uniqId="&amp;BudgetsTable[[#This Row],[prop_id]]&amp;PO_id,"&gt;ra"))</f>
        <v/>
      </c>
      <c r="N242" s="128" t="s">
        <v>13</v>
      </c>
      <c r="O242" s="7" t="str">
        <f>IF(BudgetsTable[[#This Row],[pi_last_name]]=" ","",HYPERLINK("mailto:"&amp;BudgetsTable[[#This Row],[pi_email]]&amp;"&amp;subject=Your NSF Proposal:  "&amp;BudgetsTable[[#This Row],[prop_id]],BudgetsTable[[#This Row],[pi_email]]))</f>
        <v/>
      </c>
      <c r="P242" s="128" t="s">
        <v>13</v>
      </c>
      <c r="Q242" s="128">
        <v>5</v>
      </c>
      <c r="R242" s="128">
        <v>0.6</v>
      </c>
      <c r="S242" s="129">
        <v>30900</v>
      </c>
      <c r="T242" s="129">
        <v>0</v>
      </c>
      <c r="U242" s="129">
        <v>0</v>
      </c>
      <c r="V242" s="130">
        <v>129488</v>
      </c>
      <c r="W242" s="128">
        <v>0</v>
      </c>
      <c r="X242" s="128">
        <v>2</v>
      </c>
      <c r="Y242" s="131" t="str">
        <f ca="1">IF(ISBLANK(BudgetsTable[[#This Row],[budg_seq_yr]]),"FY"&amp;fiscalyear,"FY"&amp;fiscalyear-1+BudgetsTable[[#This Row],[budg_seq_yr]])</f>
        <v>FY19</v>
      </c>
      <c r="Z242" s="129">
        <v>129488</v>
      </c>
      <c r="AA242" s="128" t="s">
        <v>741</v>
      </c>
      <c r="AB242" s="128" t="s">
        <v>901</v>
      </c>
      <c r="AC242" s="126" t="s">
        <v>94</v>
      </c>
      <c r="AD242" s="128" t="s">
        <v>2007</v>
      </c>
    </row>
    <row r="243" spans="1:30">
      <c r="A243" s="125" t="s">
        <v>1314</v>
      </c>
      <c r="B243" s="126" t="s">
        <v>1989</v>
      </c>
      <c r="C243" s="126">
        <f>C242+(BudgetsTable[[#This Row],[lead]]&lt;&gt;K242)</f>
        <v>48</v>
      </c>
      <c r="D243" s="126">
        <f>D242*(BudgetsTable[[#This Row],[lead]]=K242)+(BudgetsTable[[#This Row],[prop_id]]&lt;&gt;A242)</f>
        <v>3</v>
      </c>
      <c r="E243" s="127">
        <v>42809.67291666667</v>
      </c>
      <c r="F243" s="128" t="s">
        <v>1965</v>
      </c>
      <c r="G243" s="128" t="s">
        <v>741</v>
      </c>
      <c r="H243" s="128" t="s">
        <v>901</v>
      </c>
      <c r="I243" s="126" t="s">
        <v>948</v>
      </c>
      <c r="J243" s="126" t="s">
        <v>13</v>
      </c>
      <c r="K243" s="128" t="s">
        <v>1307</v>
      </c>
      <c r="L243" s="7" t="str">
        <f>IF(BudgetsTable[[#This Row],[pi_last_name]]=" ","",HYPERLINK("https://www.ejacket.nsf.gov/ej/showProposal.do?Continue=Y&amp;ID="&amp;BudgetsTable[[#This Row],[prop_id]],BudgetsTable[[#This Row],[prop_id]]))</f>
        <v/>
      </c>
      <c r="M243" s="15" t="str">
        <f>IF(BudgetsTable[[#This Row],[pi_last_name]]=" ","",HYPERLINK("https://www.ejacket.nsf.gov/ej/processReviewAnalysis.do?dispatch=add&amp;uniqId="&amp;BudgetsTable[[#This Row],[prop_id]]&amp;PO_id,"&gt;ra"))</f>
        <v/>
      </c>
      <c r="N243" s="128" t="s">
        <v>13</v>
      </c>
      <c r="O243" s="7" t="str">
        <f>IF(BudgetsTable[[#This Row],[pi_last_name]]=" ","",HYPERLINK("mailto:"&amp;BudgetsTable[[#This Row],[pi_email]]&amp;"&amp;subject=Your NSF Proposal:  "&amp;BudgetsTable[[#This Row],[prop_id]],BudgetsTable[[#This Row],[pi_email]]))</f>
        <v/>
      </c>
      <c r="P243" s="128" t="s">
        <v>13</v>
      </c>
      <c r="Q243" s="128">
        <v>5</v>
      </c>
      <c r="R243" s="128">
        <v>0.6</v>
      </c>
      <c r="S243" s="129">
        <v>31827</v>
      </c>
      <c r="T243" s="129">
        <v>0</v>
      </c>
      <c r="U243" s="129">
        <v>0</v>
      </c>
      <c r="V243" s="130">
        <v>142577</v>
      </c>
      <c r="W243" s="128">
        <v>0</v>
      </c>
      <c r="X243" s="128">
        <v>3</v>
      </c>
      <c r="Y243" s="131" t="str">
        <f ca="1">IF(ISBLANK(BudgetsTable[[#This Row],[budg_seq_yr]]),"FY"&amp;fiscalyear,"FY"&amp;fiscalyear-1+BudgetsTable[[#This Row],[budg_seq_yr]])</f>
        <v>FY20</v>
      </c>
      <c r="Z243" s="129">
        <v>142577</v>
      </c>
      <c r="AA243" s="128" t="s">
        <v>741</v>
      </c>
      <c r="AB243" s="128" t="s">
        <v>901</v>
      </c>
      <c r="AC243" s="126" t="s">
        <v>94</v>
      </c>
      <c r="AD243" s="128" t="s">
        <v>2007</v>
      </c>
    </row>
    <row r="244" spans="1:30">
      <c r="A244" s="125" t="s">
        <v>1320</v>
      </c>
      <c r="B244" s="126" t="s">
        <v>96</v>
      </c>
      <c r="C244" s="126">
        <f>C243+(BudgetsTable[[#This Row],[lead]]&lt;&gt;K243)</f>
        <v>49</v>
      </c>
      <c r="D244" s="126">
        <f>D243*(BudgetsTable[[#This Row],[lead]]=K243)+(BudgetsTable[[#This Row],[prop_id]]&lt;&gt;A243)</f>
        <v>1</v>
      </c>
      <c r="E244" s="127">
        <v>42809.683333333334</v>
      </c>
      <c r="F244" s="128" t="s">
        <v>1965</v>
      </c>
      <c r="G244" s="128" t="s">
        <v>741</v>
      </c>
      <c r="H244" s="128" t="s">
        <v>901</v>
      </c>
      <c r="I244" s="126" t="s">
        <v>543</v>
      </c>
      <c r="J244" s="126" t="s">
        <v>2260</v>
      </c>
      <c r="K244" s="128" t="s">
        <v>1320</v>
      </c>
      <c r="L244" s="7" t="str">
        <f>IF(BudgetsTable[[#This Row],[pi_last_name]]=" ","",HYPERLINK("https://www.ejacket.nsf.gov/ej/showProposal.do?Continue=Y&amp;ID="&amp;BudgetsTable[[#This Row],[prop_id]],BudgetsTable[[#This Row],[prop_id]]))</f>
        <v>1740822</v>
      </c>
      <c r="M244" s="15" t="str">
        <f>IF(BudgetsTable[[#This Row],[pi_last_name]]=" ","",HYPERLINK("https://www.ejacket.nsf.gov/ej/processReviewAnalysis.do?dispatch=add&amp;uniqId="&amp;BudgetsTable[[#This Row],[prop_id]]&amp;PO_id,"&gt;ra"))</f>
        <v>&gt;ra</v>
      </c>
      <c r="N244" s="128" t="s">
        <v>1321</v>
      </c>
      <c r="O244" s="7" t="str">
        <f>IF(BudgetsTable[[#This Row],[pi_last_name]]=" ","",HYPERLINK("mailto:"&amp;BudgetsTable[[#This Row],[pi_email]]&amp;"&amp;subject=Your NSF Proposal:  "&amp;BudgetsTable[[#This Row],[prop_id]],BudgetsTable[[#This Row],[pi_email]]))</f>
        <v>kilianweinberger@cornell.edu</v>
      </c>
      <c r="P244" s="128" t="s">
        <v>2257</v>
      </c>
      <c r="Q244" s="128"/>
      <c r="R244" s="128"/>
      <c r="S244" s="129"/>
      <c r="T244" s="129"/>
      <c r="U244" s="129"/>
      <c r="V244" s="130"/>
      <c r="W244" s="128">
        <v>1</v>
      </c>
      <c r="X244" s="128"/>
      <c r="Y244" s="131" t="str">
        <f ca="1">IF(ISBLANK(BudgetsTable[[#This Row],[budg_seq_yr]]),"FY"&amp;fiscalyear,"FY"&amp;fiscalyear-1+BudgetsTable[[#This Row],[budg_seq_yr]])</f>
        <v>FY18</v>
      </c>
      <c r="Z244" s="129">
        <v>1496655</v>
      </c>
      <c r="AA244" s="128" t="s">
        <v>741</v>
      </c>
      <c r="AB244" s="128" t="s">
        <v>901</v>
      </c>
      <c r="AC244" s="126" t="s">
        <v>94</v>
      </c>
      <c r="AD244" s="128" t="s">
        <v>1968</v>
      </c>
    </row>
    <row r="245" spans="1:30">
      <c r="A245" s="125" t="s">
        <v>1320</v>
      </c>
      <c r="B245" s="126" t="s">
        <v>96</v>
      </c>
      <c r="C245" s="126">
        <f>C244+(BudgetsTable[[#This Row],[lead]]&lt;&gt;K244)</f>
        <v>49</v>
      </c>
      <c r="D245" s="126">
        <f>D244*(BudgetsTable[[#This Row],[lead]]=K244)+(BudgetsTable[[#This Row],[prop_id]]&lt;&gt;A244)</f>
        <v>1</v>
      </c>
      <c r="E245" s="127">
        <v>42809.683333333334</v>
      </c>
      <c r="F245" s="128" t="s">
        <v>1965</v>
      </c>
      <c r="G245" s="128" t="s">
        <v>741</v>
      </c>
      <c r="H245" s="128" t="s">
        <v>901</v>
      </c>
      <c r="I245" s="126" t="s">
        <v>543</v>
      </c>
      <c r="J245" s="126" t="s">
        <v>13</v>
      </c>
      <c r="K245" s="128" t="s">
        <v>1320</v>
      </c>
      <c r="L245" s="7" t="str">
        <f>IF(BudgetsTable[[#This Row],[pi_last_name]]=" ","",HYPERLINK("https://www.ejacket.nsf.gov/ej/showProposal.do?Continue=Y&amp;ID="&amp;BudgetsTable[[#This Row],[prop_id]],BudgetsTable[[#This Row],[prop_id]]))</f>
        <v/>
      </c>
      <c r="M245" s="15" t="str">
        <f>IF(BudgetsTable[[#This Row],[pi_last_name]]=" ","",HYPERLINK("https://www.ejacket.nsf.gov/ej/processReviewAnalysis.do?dispatch=add&amp;uniqId="&amp;BudgetsTable[[#This Row],[prop_id]]&amp;PO_id,"&gt;ra"))</f>
        <v/>
      </c>
      <c r="N245" s="128" t="s">
        <v>13</v>
      </c>
      <c r="O245" s="7" t="str">
        <f>IF(BudgetsTable[[#This Row],[pi_last_name]]=" ","",HYPERLINK("mailto:"&amp;BudgetsTable[[#This Row],[pi_email]]&amp;"&amp;subject=Your NSF Proposal:  "&amp;BudgetsTable[[#This Row],[prop_id]],BudgetsTable[[#This Row],[pi_email]]))</f>
        <v/>
      </c>
      <c r="P245" s="128" t="s">
        <v>13</v>
      </c>
      <c r="Q245" s="128">
        <v>0</v>
      </c>
      <c r="R245" s="128">
        <v>0</v>
      </c>
      <c r="S245" s="129">
        <v>182500</v>
      </c>
      <c r="T245" s="129">
        <v>0</v>
      </c>
      <c r="U245" s="129">
        <v>24000</v>
      </c>
      <c r="V245" s="130">
        <v>499068</v>
      </c>
      <c r="W245" s="128">
        <v>1</v>
      </c>
      <c r="X245" s="128">
        <v>1</v>
      </c>
      <c r="Y245" s="131" t="str">
        <f ca="1">IF(ISBLANK(BudgetsTable[[#This Row],[budg_seq_yr]]),"FY"&amp;fiscalyear,"FY"&amp;fiscalyear-1+BudgetsTable[[#This Row],[budg_seq_yr]])</f>
        <v>FY18</v>
      </c>
      <c r="Z245" s="129">
        <v>499068</v>
      </c>
      <c r="AA245" s="128" t="s">
        <v>741</v>
      </c>
      <c r="AB245" s="128" t="s">
        <v>901</v>
      </c>
      <c r="AC245" s="126" t="s">
        <v>94</v>
      </c>
      <c r="AD245" s="128" t="s">
        <v>1968</v>
      </c>
    </row>
    <row r="246" spans="1:30">
      <c r="A246" s="125" t="s">
        <v>1320</v>
      </c>
      <c r="B246" s="126" t="s">
        <v>96</v>
      </c>
      <c r="C246" s="126">
        <f>C245+(BudgetsTable[[#This Row],[lead]]&lt;&gt;K245)</f>
        <v>49</v>
      </c>
      <c r="D246" s="126">
        <f>D245*(BudgetsTable[[#This Row],[lead]]=K245)+(BudgetsTable[[#This Row],[prop_id]]&lt;&gt;A245)</f>
        <v>1</v>
      </c>
      <c r="E246" s="127">
        <v>42809.683333333334</v>
      </c>
      <c r="F246" s="128" t="s">
        <v>1965</v>
      </c>
      <c r="G246" s="128" t="s">
        <v>741</v>
      </c>
      <c r="H246" s="128" t="s">
        <v>901</v>
      </c>
      <c r="I246" s="126" t="s">
        <v>543</v>
      </c>
      <c r="J246" s="126" t="s">
        <v>13</v>
      </c>
      <c r="K246" s="128" t="s">
        <v>1320</v>
      </c>
      <c r="L246" s="7" t="str">
        <f>IF(BudgetsTable[[#This Row],[pi_last_name]]=" ","",HYPERLINK("https://www.ejacket.nsf.gov/ej/showProposal.do?Continue=Y&amp;ID="&amp;BudgetsTable[[#This Row],[prop_id]],BudgetsTable[[#This Row],[prop_id]]))</f>
        <v/>
      </c>
      <c r="M246" s="15" t="str">
        <f>IF(BudgetsTable[[#This Row],[pi_last_name]]=" ","",HYPERLINK("https://www.ejacket.nsf.gov/ej/processReviewAnalysis.do?dispatch=add&amp;uniqId="&amp;BudgetsTable[[#This Row],[prop_id]]&amp;PO_id,"&gt;ra"))</f>
        <v/>
      </c>
      <c r="N246" s="128" t="s">
        <v>13</v>
      </c>
      <c r="O246" s="7" t="str">
        <f>IF(BudgetsTable[[#This Row],[pi_last_name]]=" ","",HYPERLINK("mailto:"&amp;BudgetsTable[[#This Row],[pi_email]]&amp;"&amp;subject=Your NSF Proposal:  "&amp;BudgetsTable[[#This Row],[prop_id]],BudgetsTable[[#This Row],[pi_email]]))</f>
        <v/>
      </c>
      <c r="P246" s="128" t="s">
        <v>13</v>
      </c>
      <c r="Q246" s="128">
        <v>0</v>
      </c>
      <c r="R246" s="128">
        <v>0</v>
      </c>
      <c r="S246" s="129">
        <v>206000</v>
      </c>
      <c r="T246" s="129">
        <v>0</v>
      </c>
      <c r="U246" s="129">
        <v>0</v>
      </c>
      <c r="V246" s="130">
        <v>498691</v>
      </c>
      <c r="W246" s="128">
        <v>1</v>
      </c>
      <c r="X246" s="128">
        <v>2</v>
      </c>
      <c r="Y246" s="131" t="str">
        <f ca="1">IF(ISBLANK(BudgetsTable[[#This Row],[budg_seq_yr]]),"FY"&amp;fiscalyear,"FY"&amp;fiscalyear-1+BudgetsTable[[#This Row],[budg_seq_yr]])</f>
        <v>FY19</v>
      </c>
      <c r="Z246" s="129">
        <v>498691</v>
      </c>
      <c r="AA246" s="128" t="s">
        <v>741</v>
      </c>
      <c r="AB246" s="128" t="s">
        <v>901</v>
      </c>
      <c r="AC246" s="126" t="s">
        <v>94</v>
      </c>
      <c r="AD246" s="128" t="s">
        <v>1968</v>
      </c>
    </row>
    <row r="247" spans="1:30">
      <c r="A247" s="125" t="s">
        <v>1320</v>
      </c>
      <c r="B247" s="126" t="s">
        <v>96</v>
      </c>
      <c r="C247" s="126">
        <f>C246+(BudgetsTable[[#This Row],[lead]]&lt;&gt;K246)</f>
        <v>49</v>
      </c>
      <c r="D247" s="126">
        <f>D246*(BudgetsTable[[#This Row],[lead]]=K246)+(BudgetsTable[[#This Row],[prop_id]]&lt;&gt;A246)</f>
        <v>1</v>
      </c>
      <c r="E247" s="127">
        <v>42809.683333333334</v>
      </c>
      <c r="F247" s="128" t="s">
        <v>1965</v>
      </c>
      <c r="G247" s="128" t="s">
        <v>741</v>
      </c>
      <c r="H247" s="128" t="s">
        <v>901</v>
      </c>
      <c r="I247" s="126" t="s">
        <v>543</v>
      </c>
      <c r="J247" s="126" t="s">
        <v>13</v>
      </c>
      <c r="K247" s="128" t="s">
        <v>1320</v>
      </c>
      <c r="L247" s="7" t="str">
        <f>IF(BudgetsTable[[#This Row],[pi_last_name]]=" ","",HYPERLINK("https://www.ejacket.nsf.gov/ej/showProposal.do?Continue=Y&amp;ID="&amp;BudgetsTable[[#This Row],[prop_id]],BudgetsTable[[#This Row],[prop_id]]))</f>
        <v/>
      </c>
      <c r="M247" s="15" t="str">
        <f>IF(BudgetsTable[[#This Row],[pi_last_name]]=" ","",HYPERLINK("https://www.ejacket.nsf.gov/ej/processReviewAnalysis.do?dispatch=add&amp;uniqId="&amp;BudgetsTable[[#This Row],[prop_id]]&amp;PO_id,"&gt;ra"))</f>
        <v/>
      </c>
      <c r="N247" s="128" t="s">
        <v>13</v>
      </c>
      <c r="O247" s="7" t="str">
        <f>IF(BudgetsTable[[#This Row],[pi_last_name]]=" ","",HYPERLINK("mailto:"&amp;BudgetsTable[[#This Row],[pi_email]]&amp;"&amp;subject=Your NSF Proposal:  "&amp;BudgetsTable[[#This Row],[prop_id]],BudgetsTable[[#This Row],[pi_email]]))</f>
        <v/>
      </c>
      <c r="P247" s="128" t="s">
        <v>13</v>
      </c>
      <c r="Q247" s="128">
        <v>0</v>
      </c>
      <c r="R247" s="128">
        <v>0</v>
      </c>
      <c r="S247" s="129">
        <v>212180</v>
      </c>
      <c r="T247" s="129">
        <v>0</v>
      </c>
      <c r="U247" s="129">
        <v>0</v>
      </c>
      <c r="V247" s="130">
        <v>498896</v>
      </c>
      <c r="W247" s="128">
        <v>1</v>
      </c>
      <c r="X247" s="128">
        <v>3</v>
      </c>
      <c r="Y247" s="131" t="str">
        <f ca="1">IF(ISBLANK(BudgetsTable[[#This Row],[budg_seq_yr]]),"FY"&amp;fiscalyear,"FY"&amp;fiscalyear-1+BudgetsTable[[#This Row],[budg_seq_yr]])</f>
        <v>FY20</v>
      </c>
      <c r="Z247" s="129">
        <v>498896</v>
      </c>
      <c r="AA247" s="128" t="s">
        <v>741</v>
      </c>
      <c r="AB247" s="128" t="s">
        <v>901</v>
      </c>
      <c r="AC247" s="126" t="s">
        <v>94</v>
      </c>
      <c r="AD247" s="128" t="s">
        <v>1968</v>
      </c>
    </row>
    <row r="248" spans="1:30">
      <c r="A248" s="125" t="s">
        <v>1331</v>
      </c>
      <c r="B248" s="126" t="s">
        <v>96</v>
      </c>
      <c r="C248" s="126">
        <f>C247+(BudgetsTable[[#This Row],[lead]]&lt;&gt;K247)</f>
        <v>50</v>
      </c>
      <c r="D248" s="126">
        <f>D247*(BudgetsTable[[#This Row],[lead]]=K247)+(BudgetsTable[[#This Row],[prop_id]]&lt;&gt;A247)</f>
        <v>1</v>
      </c>
      <c r="E248" s="127">
        <v>42809.688888888886</v>
      </c>
      <c r="F248" s="128" t="s">
        <v>1965</v>
      </c>
      <c r="G248" s="128" t="s">
        <v>741</v>
      </c>
      <c r="H248" s="128" t="s">
        <v>901</v>
      </c>
      <c r="I248" s="126" t="s">
        <v>540</v>
      </c>
      <c r="J248" s="126" t="s">
        <v>2263</v>
      </c>
      <c r="K248" s="128" t="s">
        <v>1331</v>
      </c>
      <c r="L248" s="7" t="str">
        <f>IF(BudgetsTable[[#This Row],[pi_last_name]]=" ","",HYPERLINK("https://www.ejacket.nsf.gov/ej/showProposal.do?Continue=Y&amp;ID="&amp;BudgetsTable[[#This Row],[prop_id]],BudgetsTable[[#This Row],[prop_id]]))</f>
        <v>1740825</v>
      </c>
      <c r="M248" s="15" t="str">
        <f>IF(BudgetsTable[[#This Row],[pi_last_name]]=" ","",HYPERLINK("https://www.ejacket.nsf.gov/ej/processReviewAnalysis.do?dispatch=add&amp;uniqId="&amp;BudgetsTable[[#This Row],[prop_id]]&amp;PO_id,"&gt;ra"))</f>
        <v>&gt;ra</v>
      </c>
      <c r="N248" s="128" t="s">
        <v>1332</v>
      </c>
      <c r="O248" s="7" t="str">
        <f>IF(BudgetsTable[[#This Row],[pi_last_name]]=" ","",HYPERLINK("mailto:"&amp;BudgetsTable[[#This Row],[pi_email]]&amp;"&amp;subject=Your NSF Proposal:  "&amp;BudgetsTable[[#This Row],[prop_id]],BudgetsTable[[#This Row],[pi_email]]))</f>
        <v>cfg3@nyu.edu</v>
      </c>
      <c r="P248" s="128" t="s">
        <v>2222</v>
      </c>
      <c r="Q248" s="128"/>
      <c r="R248" s="128"/>
      <c r="S248" s="129"/>
      <c r="T248" s="129"/>
      <c r="U248" s="129"/>
      <c r="V248" s="130"/>
      <c r="W248" s="128">
        <v>0</v>
      </c>
      <c r="X248" s="128"/>
      <c r="Y248" s="131" t="str">
        <f ca="1">IF(ISBLANK(BudgetsTable[[#This Row],[budg_seq_yr]]),"FY"&amp;fiscalyear,"FY"&amp;fiscalyear-1+BudgetsTable[[#This Row],[budg_seq_yr]])</f>
        <v>FY18</v>
      </c>
      <c r="Z248" s="129">
        <v>1473414</v>
      </c>
      <c r="AA248" s="128" t="s">
        <v>741</v>
      </c>
      <c r="AB248" s="128" t="s">
        <v>901</v>
      </c>
      <c r="AC248" s="126" t="s">
        <v>94</v>
      </c>
      <c r="AD248" s="128" t="s">
        <v>2007</v>
      </c>
    </row>
    <row r="249" spans="1:30">
      <c r="A249" s="125" t="s">
        <v>1331</v>
      </c>
      <c r="B249" s="126" t="s">
        <v>96</v>
      </c>
      <c r="C249" s="126">
        <f>C248+(BudgetsTable[[#This Row],[lead]]&lt;&gt;K248)</f>
        <v>50</v>
      </c>
      <c r="D249" s="126">
        <f>D248*(BudgetsTable[[#This Row],[lead]]=K248)+(BudgetsTable[[#This Row],[prop_id]]&lt;&gt;A248)</f>
        <v>1</v>
      </c>
      <c r="E249" s="127">
        <v>42809.688888888886</v>
      </c>
      <c r="F249" s="128" t="s">
        <v>1965</v>
      </c>
      <c r="G249" s="128" t="s">
        <v>741</v>
      </c>
      <c r="H249" s="128" t="s">
        <v>901</v>
      </c>
      <c r="I249" s="126" t="s">
        <v>540</v>
      </c>
      <c r="J249" s="126" t="s">
        <v>13</v>
      </c>
      <c r="K249" s="128" t="s">
        <v>1331</v>
      </c>
      <c r="L249" s="7" t="str">
        <f>IF(BudgetsTable[[#This Row],[pi_last_name]]=" ","",HYPERLINK("https://www.ejacket.nsf.gov/ej/showProposal.do?Continue=Y&amp;ID="&amp;BudgetsTable[[#This Row],[prop_id]],BudgetsTable[[#This Row],[prop_id]]))</f>
        <v/>
      </c>
      <c r="M249" s="15" t="str">
        <f>IF(BudgetsTable[[#This Row],[pi_last_name]]=" ","",HYPERLINK("https://www.ejacket.nsf.gov/ej/processReviewAnalysis.do?dispatch=add&amp;uniqId="&amp;BudgetsTable[[#This Row],[prop_id]]&amp;PO_id,"&gt;ra"))</f>
        <v/>
      </c>
      <c r="N249" s="128" t="s">
        <v>13</v>
      </c>
      <c r="O249" s="7" t="str">
        <f>IF(BudgetsTable[[#This Row],[pi_last_name]]=" ","",HYPERLINK("mailto:"&amp;BudgetsTable[[#This Row],[pi_email]]&amp;"&amp;subject=Your NSF Proposal:  "&amp;BudgetsTable[[#This Row],[prop_id]],BudgetsTable[[#This Row],[pi_email]]))</f>
        <v/>
      </c>
      <c r="P249" s="128" t="s">
        <v>13</v>
      </c>
      <c r="Q249" s="128">
        <v>4</v>
      </c>
      <c r="R249" s="128">
        <v>3.6</v>
      </c>
      <c r="S249" s="129">
        <v>97500</v>
      </c>
      <c r="T249" s="129">
        <v>0</v>
      </c>
      <c r="U249" s="129">
        <v>40000</v>
      </c>
      <c r="V249" s="130">
        <v>481374</v>
      </c>
      <c r="W249" s="128">
        <v>0</v>
      </c>
      <c r="X249" s="128">
        <v>1</v>
      </c>
      <c r="Y249" s="131" t="str">
        <f ca="1">IF(ISBLANK(BudgetsTable[[#This Row],[budg_seq_yr]]),"FY"&amp;fiscalyear,"FY"&amp;fiscalyear-1+BudgetsTable[[#This Row],[budg_seq_yr]])</f>
        <v>FY18</v>
      </c>
      <c r="Z249" s="129">
        <v>481374</v>
      </c>
      <c r="AA249" s="128" t="s">
        <v>741</v>
      </c>
      <c r="AB249" s="128" t="s">
        <v>901</v>
      </c>
      <c r="AC249" s="126" t="s">
        <v>94</v>
      </c>
      <c r="AD249" s="128" t="s">
        <v>2007</v>
      </c>
    </row>
    <row r="250" spans="1:30">
      <c r="A250" s="125" t="s">
        <v>1331</v>
      </c>
      <c r="B250" s="126" t="s">
        <v>96</v>
      </c>
      <c r="C250" s="126">
        <f>C249+(BudgetsTable[[#This Row],[lead]]&lt;&gt;K249)</f>
        <v>50</v>
      </c>
      <c r="D250" s="126">
        <f>D249*(BudgetsTable[[#This Row],[lead]]=K249)+(BudgetsTable[[#This Row],[prop_id]]&lt;&gt;A249)</f>
        <v>1</v>
      </c>
      <c r="E250" s="127">
        <v>42809.688888888886</v>
      </c>
      <c r="F250" s="128" t="s">
        <v>1965</v>
      </c>
      <c r="G250" s="128" t="s">
        <v>741</v>
      </c>
      <c r="H250" s="128" t="s">
        <v>901</v>
      </c>
      <c r="I250" s="126" t="s">
        <v>540</v>
      </c>
      <c r="J250" s="126" t="s">
        <v>13</v>
      </c>
      <c r="K250" s="128" t="s">
        <v>1331</v>
      </c>
      <c r="L250" s="7" t="str">
        <f>IF(BudgetsTable[[#This Row],[pi_last_name]]=" ","",HYPERLINK("https://www.ejacket.nsf.gov/ej/showProposal.do?Continue=Y&amp;ID="&amp;BudgetsTable[[#This Row],[prop_id]],BudgetsTable[[#This Row],[prop_id]]))</f>
        <v/>
      </c>
      <c r="M250" s="15" t="str">
        <f>IF(BudgetsTable[[#This Row],[pi_last_name]]=" ","",HYPERLINK("https://www.ejacket.nsf.gov/ej/processReviewAnalysis.do?dispatch=add&amp;uniqId="&amp;BudgetsTable[[#This Row],[prop_id]]&amp;PO_id,"&gt;ra"))</f>
        <v/>
      </c>
      <c r="N250" s="128" t="s">
        <v>13</v>
      </c>
      <c r="O250" s="7" t="str">
        <f>IF(BudgetsTable[[#This Row],[pi_last_name]]=" ","",HYPERLINK("mailto:"&amp;BudgetsTable[[#This Row],[pi_email]]&amp;"&amp;subject=Your NSF Proposal:  "&amp;BudgetsTable[[#This Row],[prop_id]],BudgetsTable[[#This Row],[pi_email]]))</f>
        <v/>
      </c>
      <c r="P250" s="128" t="s">
        <v>13</v>
      </c>
      <c r="Q250" s="128">
        <v>4</v>
      </c>
      <c r="R250" s="128">
        <v>3.6</v>
      </c>
      <c r="S250" s="129">
        <v>99938</v>
      </c>
      <c r="T250" s="129">
        <v>0</v>
      </c>
      <c r="U250" s="129">
        <v>40000</v>
      </c>
      <c r="V250" s="130">
        <v>492407</v>
      </c>
      <c r="W250" s="128">
        <v>0</v>
      </c>
      <c r="X250" s="128">
        <v>2</v>
      </c>
      <c r="Y250" s="131" t="str">
        <f ca="1">IF(ISBLANK(BudgetsTable[[#This Row],[budg_seq_yr]]),"FY"&amp;fiscalyear,"FY"&amp;fiscalyear-1+BudgetsTable[[#This Row],[budg_seq_yr]])</f>
        <v>FY19</v>
      </c>
      <c r="Z250" s="129">
        <v>492407</v>
      </c>
      <c r="AA250" s="128" t="s">
        <v>741</v>
      </c>
      <c r="AB250" s="128" t="s">
        <v>901</v>
      </c>
      <c r="AC250" s="126" t="s">
        <v>94</v>
      </c>
      <c r="AD250" s="128" t="s">
        <v>2007</v>
      </c>
    </row>
    <row r="251" spans="1:30">
      <c r="A251" s="125" t="s">
        <v>1331</v>
      </c>
      <c r="B251" s="126" t="s">
        <v>96</v>
      </c>
      <c r="C251" s="126">
        <f>C250+(BudgetsTable[[#This Row],[lead]]&lt;&gt;K250)</f>
        <v>50</v>
      </c>
      <c r="D251" s="126">
        <f>D250*(BudgetsTable[[#This Row],[lead]]=K250)+(BudgetsTable[[#This Row],[prop_id]]&lt;&gt;A250)</f>
        <v>1</v>
      </c>
      <c r="E251" s="127">
        <v>42809.688888888886</v>
      </c>
      <c r="F251" s="128" t="s">
        <v>1965</v>
      </c>
      <c r="G251" s="128" t="s">
        <v>741</v>
      </c>
      <c r="H251" s="128" t="s">
        <v>901</v>
      </c>
      <c r="I251" s="126" t="s">
        <v>540</v>
      </c>
      <c r="J251" s="126" t="s">
        <v>13</v>
      </c>
      <c r="K251" s="128" t="s">
        <v>1331</v>
      </c>
      <c r="L251" s="7" t="str">
        <f>IF(BudgetsTable[[#This Row],[pi_last_name]]=" ","",HYPERLINK("https://www.ejacket.nsf.gov/ej/showProposal.do?Continue=Y&amp;ID="&amp;BudgetsTable[[#This Row],[prop_id]],BudgetsTable[[#This Row],[prop_id]]))</f>
        <v/>
      </c>
      <c r="M251" s="15" t="str">
        <f>IF(BudgetsTable[[#This Row],[pi_last_name]]=" ","",HYPERLINK("https://www.ejacket.nsf.gov/ej/processReviewAnalysis.do?dispatch=add&amp;uniqId="&amp;BudgetsTable[[#This Row],[prop_id]]&amp;PO_id,"&gt;ra"))</f>
        <v/>
      </c>
      <c r="N251" s="128" t="s">
        <v>13</v>
      </c>
      <c r="O251" s="7" t="str">
        <f>IF(BudgetsTable[[#This Row],[pi_last_name]]=" ","",HYPERLINK("mailto:"&amp;BudgetsTable[[#This Row],[pi_email]]&amp;"&amp;subject=Your NSF Proposal:  "&amp;BudgetsTable[[#This Row],[prop_id]],BudgetsTable[[#This Row],[pi_email]]))</f>
        <v/>
      </c>
      <c r="P251" s="128" t="s">
        <v>13</v>
      </c>
      <c r="Q251" s="128">
        <v>4</v>
      </c>
      <c r="R251" s="128">
        <v>3.48</v>
      </c>
      <c r="S251" s="129">
        <v>102437</v>
      </c>
      <c r="T251" s="129">
        <v>0</v>
      </c>
      <c r="U251" s="129">
        <v>40000</v>
      </c>
      <c r="V251" s="130">
        <v>499633</v>
      </c>
      <c r="W251" s="128">
        <v>0</v>
      </c>
      <c r="X251" s="128">
        <v>3</v>
      </c>
      <c r="Y251" s="131" t="str">
        <f ca="1">IF(ISBLANK(BudgetsTable[[#This Row],[budg_seq_yr]]),"FY"&amp;fiscalyear,"FY"&amp;fiscalyear-1+BudgetsTable[[#This Row],[budg_seq_yr]])</f>
        <v>FY20</v>
      </c>
      <c r="Z251" s="129">
        <v>499633</v>
      </c>
      <c r="AA251" s="128" t="s">
        <v>741</v>
      </c>
      <c r="AB251" s="128" t="s">
        <v>901</v>
      </c>
      <c r="AC251" s="126" t="s">
        <v>94</v>
      </c>
      <c r="AD251" s="128" t="s">
        <v>2007</v>
      </c>
    </row>
    <row r="252" spans="1:30">
      <c r="A252" s="125" t="s">
        <v>1339</v>
      </c>
      <c r="B252" s="126" t="s">
        <v>96</v>
      </c>
      <c r="C252" s="126">
        <f>C251+(BudgetsTable[[#This Row],[lead]]&lt;&gt;K251)</f>
        <v>51</v>
      </c>
      <c r="D252" s="126">
        <f>D251*(BudgetsTable[[#This Row],[lead]]=K251)+(BudgetsTable[[#This Row],[prop_id]]&lt;&gt;A251)</f>
        <v>1</v>
      </c>
      <c r="E252" s="127">
        <v>42809.693749999999</v>
      </c>
      <c r="F252" s="128" t="s">
        <v>1965</v>
      </c>
      <c r="G252" s="128" t="s">
        <v>741</v>
      </c>
      <c r="H252" s="128" t="s">
        <v>901</v>
      </c>
      <c r="I252" s="126" t="s">
        <v>540</v>
      </c>
      <c r="J252" s="126" t="s">
        <v>2265</v>
      </c>
      <c r="K252" s="128" t="s">
        <v>1339</v>
      </c>
      <c r="L252" s="7" t="str">
        <f>IF(BudgetsTable[[#This Row],[pi_last_name]]=" ","",HYPERLINK("https://www.ejacket.nsf.gov/ej/showProposal.do?Continue=Y&amp;ID="&amp;BudgetsTable[[#This Row],[prop_id]],BudgetsTable[[#This Row],[prop_id]]))</f>
        <v>1740828</v>
      </c>
      <c r="M252" s="15" t="str">
        <f>IF(BudgetsTable[[#This Row],[pi_last_name]]=" ","",HYPERLINK("https://www.ejacket.nsf.gov/ej/processReviewAnalysis.do?dispatch=add&amp;uniqId="&amp;BudgetsTable[[#This Row],[prop_id]]&amp;PO_id,"&gt;ra"))</f>
        <v>&gt;ra</v>
      </c>
      <c r="N252" s="128" t="s">
        <v>1340</v>
      </c>
      <c r="O252" s="7" t="str">
        <f>IF(BudgetsTable[[#This Row],[pi_last_name]]=" ","",HYPERLINK("mailto:"&amp;BudgetsTable[[#This Row],[pi_email]]&amp;"&amp;subject=Your NSF Proposal:  "&amp;BudgetsTable[[#This Row],[prop_id]],BudgetsTable[[#This Row],[pi_email]]))</f>
        <v>mcgregor@cs.umass.edu</v>
      </c>
      <c r="P252" s="128" t="s">
        <v>2032</v>
      </c>
      <c r="Q252" s="128"/>
      <c r="R252" s="128"/>
      <c r="S252" s="129"/>
      <c r="T252" s="129"/>
      <c r="U252" s="129"/>
      <c r="V252" s="130"/>
      <c r="W252" s="128">
        <v>0</v>
      </c>
      <c r="X252" s="128"/>
      <c r="Y252" s="131" t="str">
        <f ca="1">IF(ISBLANK(BudgetsTable[[#This Row],[budg_seq_yr]]),"FY"&amp;fiscalyear,"FY"&amp;fiscalyear-1+BudgetsTable[[#This Row],[budg_seq_yr]])</f>
        <v>FY18</v>
      </c>
      <c r="Z252" s="129">
        <v>1499733</v>
      </c>
      <c r="AA252" s="128" t="s">
        <v>741</v>
      </c>
      <c r="AB252" s="128" t="s">
        <v>901</v>
      </c>
      <c r="AC252" s="126" t="s">
        <v>94</v>
      </c>
      <c r="AD252" s="128" t="s">
        <v>1968</v>
      </c>
    </row>
    <row r="253" spans="1:30">
      <c r="A253" s="125" t="s">
        <v>1339</v>
      </c>
      <c r="B253" s="126" t="s">
        <v>96</v>
      </c>
      <c r="C253" s="126">
        <f>C252+(BudgetsTable[[#This Row],[lead]]&lt;&gt;K252)</f>
        <v>51</v>
      </c>
      <c r="D253" s="126">
        <f>D252*(BudgetsTable[[#This Row],[lead]]=K252)+(BudgetsTable[[#This Row],[prop_id]]&lt;&gt;A252)</f>
        <v>1</v>
      </c>
      <c r="E253" s="127">
        <v>42809.693749999999</v>
      </c>
      <c r="F253" s="128" t="s">
        <v>1965</v>
      </c>
      <c r="G253" s="128" t="s">
        <v>741</v>
      </c>
      <c r="H253" s="128" t="s">
        <v>901</v>
      </c>
      <c r="I253" s="126" t="s">
        <v>540</v>
      </c>
      <c r="J253" s="126" t="s">
        <v>13</v>
      </c>
      <c r="K253" s="128" t="s">
        <v>1339</v>
      </c>
      <c r="L253" s="7" t="str">
        <f>IF(BudgetsTable[[#This Row],[pi_last_name]]=" ","",HYPERLINK("https://www.ejacket.nsf.gov/ej/showProposal.do?Continue=Y&amp;ID="&amp;BudgetsTable[[#This Row],[prop_id]],BudgetsTable[[#This Row],[prop_id]]))</f>
        <v/>
      </c>
      <c r="M253" s="15" t="str">
        <f>IF(BudgetsTable[[#This Row],[pi_last_name]]=" ","",HYPERLINK("https://www.ejacket.nsf.gov/ej/processReviewAnalysis.do?dispatch=add&amp;uniqId="&amp;BudgetsTable[[#This Row],[prop_id]]&amp;PO_id,"&gt;ra"))</f>
        <v/>
      </c>
      <c r="N253" s="128" t="s">
        <v>13</v>
      </c>
      <c r="O253" s="7" t="str">
        <f>IF(BudgetsTable[[#This Row],[pi_last_name]]=" ","",HYPERLINK("mailto:"&amp;BudgetsTable[[#This Row],[pi_email]]&amp;"&amp;subject=Your NSF Proposal:  "&amp;BudgetsTable[[#This Row],[prop_id]],BudgetsTable[[#This Row],[pi_email]]))</f>
        <v/>
      </c>
      <c r="P253" s="128" t="s">
        <v>13</v>
      </c>
      <c r="Q253" s="128">
        <v>5</v>
      </c>
      <c r="R253" s="128">
        <v>5</v>
      </c>
      <c r="S253" s="129">
        <v>175000</v>
      </c>
      <c r="T253" s="129">
        <v>0</v>
      </c>
      <c r="U253" s="129">
        <v>33000</v>
      </c>
      <c r="V253" s="130">
        <v>499933</v>
      </c>
      <c r="W253" s="128">
        <v>0</v>
      </c>
      <c r="X253" s="128">
        <v>1</v>
      </c>
      <c r="Y253" s="131" t="str">
        <f ca="1">IF(ISBLANK(BudgetsTable[[#This Row],[budg_seq_yr]]),"FY"&amp;fiscalyear,"FY"&amp;fiscalyear-1+BudgetsTable[[#This Row],[budg_seq_yr]])</f>
        <v>FY18</v>
      </c>
      <c r="Z253" s="129">
        <v>499933</v>
      </c>
      <c r="AA253" s="128" t="s">
        <v>741</v>
      </c>
      <c r="AB253" s="128" t="s">
        <v>901</v>
      </c>
      <c r="AC253" s="126" t="s">
        <v>94</v>
      </c>
      <c r="AD253" s="128" t="s">
        <v>1968</v>
      </c>
    </row>
    <row r="254" spans="1:30">
      <c r="A254" s="125" t="s">
        <v>1339</v>
      </c>
      <c r="B254" s="126" t="s">
        <v>96</v>
      </c>
      <c r="C254" s="126">
        <f>C253+(BudgetsTable[[#This Row],[lead]]&lt;&gt;K253)</f>
        <v>51</v>
      </c>
      <c r="D254" s="126">
        <f>D253*(BudgetsTable[[#This Row],[lead]]=K253)+(BudgetsTable[[#This Row],[prop_id]]&lt;&gt;A253)</f>
        <v>1</v>
      </c>
      <c r="E254" s="127">
        <v>42809.693749999999</v>
      </c>
      <c r="F254" s="128" t="s">
        <v>1965</v>
      </c>
      <c r="G254" s="128" t="s">
        <v>741</v>
      </c>
      <c r="H254" s="128" t="s">
        <v>901</v>
      </c>
      <c r="I254" s="126" t="s">
        <v>540</v>
      </c>
      <c r="J254" s="126" t="s">
        <v>13</v>
      </c>
      <c r="K254" s="128" t="s">
        <v>1339</v>
      </c>
      <c r="L254" s="7" t="str">
        <f>IF(BudgetsTable[[#This Row],[pi_last_name]]=" ","",HYPERLINK("https://www.ejacket.nsf.gov/ej/showProposal.do?Continue=Y&amp;ID="&amp;BudgetsTable[[#This Row],[prop_id]],BudgetsTable[[#This Row],[prop_id]]))</f>
        <v/>
      </c>
      <c r="M254" s="15" t="str">
        <f>IF(BudgetsTable[[#This Row],[pi_last_name]]=" ","",HYPERLINK("https://www.ejacket.nsf.gov/ej/processReviewAnalysis.do?dispatch=add&amp;uniqId="&amp;BudgetsTable[[#This Row],[prop_id]]&amp;PO_id,"&gt;ra"))</f>
        <v/>
      </c>
      <c r="N254" s="128" t="s">
        <v>13</v>
      </c>
      <c r="O254" s="7" t="str">
        <f>IF(BudgetsTable[[#This Row],[pi_last_name]]=" ","",HYPERLINK("mailto:"&amp;BudgetsTable[[#This Row],[pi_email]]&amp;"&amp;subject=Your NSF Proposal:  "&amp;BudgetsTable[[#This Row],[prop_id]],BudgetsTable[[#This Row],[pi_email]]))</f>
        <v/>
      </c>
      <c r="P254" s="128" t="s">
        <v>13</v>
      </c>
      <c r="Q254" s="128">
        <v>5</v>
      </c>
      <c r="R254" s="128">
        <v>5</v>
      </c>
      <c r="S254" s="129">
        <v>181125</v>
      </c>
      <c r="T254" s="129">
        <v>0</v>
      </c>
      <c r="U254" s="129">
        <v>24000</v>
      </c>
      <c r="V254" s="130">
        <v>499834</v>
      </c>
      <c r="W254" s="128">
        <v>0</v>
      </c>
      <c r="X254" s="128">
        <v>2</v>
      </c>
      <c r="Y254" s="131" t="str">
        <f ca="1">IF(ISBLANK(BudgetsTable[[#This Row],[budg_seq_yr]]),"FY"&amp;fiscalyear,"FY"&amp;fiscalyear-1+BudgetsTable[[#This Row],[budg_seq_yr]])</f>
        <v>FY19</v>
      </c>
      <c r="Z254" s="129">
        <v>499834</v>
      </c>
      <c r="AA254" s="128" t="s">
        <v>741</v>
      </c>
      <c r="AB254" s="128" t="s">
        <v>901</v>
      </c>
      <c r="AC254" s="126" t="s">
        <v>94</v>
      </c>
      <c r="AD254" s="128" t="s">
        <v>1968</v>
      </c>
    </row>
    <row r="255" spans="1:30">
      <c r="A255" s="125" t="s">
        <v>1339</v>
      </c>
      <c r="B255" s="126" t="s">
        <v>96</v>
      </c>
      <c r="C255" s="126">
        <f>C254+(BudgetsTable[[#This Row],[lead]]&lt;&gt;K254)</f>
        <v>51</v>
      </c>
      <c r="D255" s="126">
        <f>D254*(BudgetsTable[[#This Row],[lead]]=K254)+(BudgetsTable[[#This Row],[prop_id]]&lt;&gt;A254)</f>
        <v>1</v>
      </c>
      <c r="E255" s="127">
        <v>42809.693749999999</v>
      </c>
      <c r="F255" s="128" t="s">
        <v>1965</v>
      </c>
      <c r="G255" s="128" t="s">
        <v>741</v>
      </c>
      <c r="H255" s="128" t="s">
        <v>901</v>
      </c>
      <c r="I255" s="126" t="s">
        <v>540</v>
      </c>
      <c r="J255" s="126" t="s">
        <v>13</v>
      </c>
      <c r="K255" s="128" t="s">
        <v>1339</v>
      </c>
      <c r="L255" s="7" t="str">
        <f>IF(BudgetsTable[[#This Row],[pi_last_name]]=" ","",HYPERLINK("https://www.ejacket.nsf.gov/ej/showProposal.do?Continue=Y&amp;ID="&amp;BudgetsTable[[#This Row],[prop_id]],BudgetsTable[[#This Row],[prop_id]]))</f>
        <v/>
      </c>
      <c r="M255" s="15" t="str">
        <f>IF(BudgetsTable[[#This Row],[pi_last_name]]=" ","",HYPERLINK("https://www.ejacket.nsf.gov/ej/processReviewAnalysis.do?dispatch=add&amp;uniqId="&amp;BudgetsTable[[#This Row],[prop_id]]&amp;PO_id,"&gt;ra"))</f>
        <v/>
      </c>
      <c r="N255" s="128" t="s">
        <v>13</v>
      </c>
      <c r="O255" s="7" t="str">
        <f>IF(BudgetsTable[[#This Row],[pi_last_name]]=" ","",HYPERLINK("mailto:"&amp;BudgetsTable[[#This Row],[pi_email]]&amp;"&amp;subject=Your NSF Proposal:  "&amp;BudgetsTable[[#This Row],[prop_id]],BudgetsTable[[#This Row],[pi_email]]))</f>
        <v/>
      </c>
      <c r="P255" s="128" t="s">
        <v>13</v>
      </c>
      <c r="Q255" s="128">
        <v>5</v>
      </c>
      <c r="R255" s="128">
        <v>4.5</v>
      </c>
      <c r="S255" s="129">
        <v>187464</v>
      </c>
      <c r="T255" s="129">
        <v>0</v>
      </c>
      <c r="U255" s="129">
        <v>21000</v>
      </c>
      <c r="V255" s="130">
        <v>499966</v>
      </c>
      <c r="W255" s="128">
        <v>0</v>
      </c>
      <c r="X255" s="128">
        <v>3</v>
      </c>
      <c r="Y255" s="131" t="str">
        <f ca="1">IF(ISBLANK(BudgetsTable[[#This Row],[budg_seq_yr]]),"FY"&amp;fiscalyear,"FY"&amp;fiscalyear-1+BudgetsTable[[#This Row],[budg_seq_yr]])</f>
        <v>FY20</v>
      </c>
      <c r="Z255" s="129">
        <v>499966</v>
      </c>
      <c r="AA255" s="128" t="s">
        <v>741</v>
      </c>
      <c r="AB255" s="128" t="s">
        <v>901</v>
      </c>
      <c r="AC255" s="126" t="s">
        <v>94</v>
      </c>
      <c r="AD255" s="128" t="s">
        <v>1968</v>
      </c>
    </row>
    <row r="256" spans="1:30">
      <c r="A256" s="125" t="s">
        <v>1347</v>
      </c>
      <c r="B256" s="126" t="s">
        <v>96</v>
      </c>
      <c r="C256" s="126">
        <f>C255+(BudgetsTable[[#This Row],[lead]]&lt;&gt;K255)</f>
        <v>52</v>
      </c>
      <c r="D256" s="126">
        <f>D255*(BudgetsTable[[#This Row],[lead]]=K255)+(BudgetsTable[[#This Row],[prop_id]]&lt;&gt;A255)</f>
        <v>1</v>
      </c>
      <c r="E256" s="127">
        <v>42809.695138888892</v>
      </c>
      <c r="F256" s="128" t="s">
        <v>1965</v>
      </c>
      <c r="G256" s="128" t="s">
        <v>741</v>
      </c>
      <c r="H256" s="128" t="s">
        <v>901</v>
      </c>
      <c r="I256" s="126" t="s">
        <v>540</v>
      </c>
      <c r="J256" s="126" t="s">
        <v>2269</v>
      </c>
      <c r="K256" s="128" t="s">
        <v>1347</v>
      </c>
      <c r="L256" s="7" t="str">
        <f>IF(BudgetsTable[[#This Row],[pi_last_name]]=" ","",HYPERLINK("https://www.ejacket.nsf.gov/ej/showProposal.do?Continue=Y&amp;ID="&amp;BudgetsTable[[#This Row],[prop_id]],BudgetsTable[[#This Row],[prop_id]]))</f>
        <v>1740829</v>
      </c>
      <c r="M256" s="15" t="str">
        <f>IF(BudgetsTable[[#This Row],[pi_last_name]]=" ","",HYPERLINK("https://www.ejacket.nsf.gov/ej/processReviewAnalysis.do?dispatch=add&amp;uniqId="&amp;BudgetsTable[[#This Row],[prop_id]]&amp;PO_id,"&gt;ra"))</f>
        <v>&gt;ra</v>
      </c>
      <c r="N256" s="128" t="s">
        <v>1348</v>
      </c>
      <c r="O256" s="7" t="str">
        <f>IF(BudgetsTable[[#This Row],[pi_last_name]]=" ","",HYPERLINK("mailto:"&amp;BudgetsTable[[#This Row],[pi_email]]&amp;"&amp;subject=Your NSF Proposal:  "&amp;BudgetsTable[[#This Row],[prop_id]],BudgetsTable[[#This Row],[pi_email]]))</f>
        <v>plahiri@umd.edu</v>
      </c>
      <c r="P256" s="128" t="s">
        <v>2267</v>
      </c>
      <c r="Q256" s="128"/>
      <c r="R256" s="128"/>
      <c r="S256" s="129"/>
      <c r="T256" s="129"/>
      <c r="U256" s="129"/>
      <c r="V256" s="130"/>
      <c r="W256" s="128">
        <v>0</v>
      </c>
      <c r="X256" s="128"/>
      <c r="Y256" s="131" t="str">
        <f ca="1">IF(ISBLANK(BudgetsTable[[#This Row],[budg_seq_yr]]),"FY"&amp;fiscalyear,"FY"&amp;fiscalyear-1+BudgetsTable[[#This Row],[budg_seq_yr]])</f>
        <v>FY18</v>
      </c>
      <c r="Z256" s="129">
        <v>1499984</v>
      </c>
      <c r="AA256" s="128" t="s">
        <v>741</v>
      </c>
      <c r="AB256" s="128" t="s">
        <v>901</v>
      </c>
      <c r="AC256" s="126" t="s">
        <v>94</v>
      </c>
      <c r="AD256" s="128" t="s">
        <v>1968</v>
      </c>
    </row>
    <row r="257" spans="1:30">
      <c r="A257" s="125" t="s">
        <v>1347</v>
      </c>
      <c r="B257" s="126" t="s">
        <v>96</v>
      </c>
      <c r="C257" s="126">
        <f>C256+(BudgetsTable[[#This Row],[lead]]&lt;&gt;K256)</f>
        <v>52</v>
      </c>
      <c r="D257" s="126">
        <f>D256*(BudgetsTable[[#This Row],[lead]]=K256)+(BudgetsTable[[#This Row],[prop_id]]&lt;&gt;A256)</f>
        <v>1</v>
      </c>
      <c r="E257" s="127">
        <v>42809.695138888892</v>
      </c>
      <c r="F257" s="128" t="s">
        <v>1965</v>
      </c>
      <c r="G257" s="128" t="s">
        <v>741</v>
      </c>
      <c r="H257" s="128" t="s">
        <v>901</v>
      </c>
      <c r="I257" s="126" t="s">
        <v>540</v>
      </c>
      <c r="J257" s="126" t="s">
        <v>13</v>
      </c>
      <c r="K257" s="128" t="s">
        <v>1347</v>
      </c>
      <c r="L257" s="7" t="str">
        <f>IF(BudgetsTable[[#This Row],[pi_last_name]]=" ","",HYPERLINK("https://www.ejacket.nsf.gov/ej/showProposal.do?Continue=Y&amp;ID="&amp;BudgetsTable[[#This Row],[prop_id]],BudgetsTable[[#This Row],[prop_id]]))</f>
        <v/>
      </c>
      <c r="M257" s="15" t="str">
        <f>IF(BudgetsTable[[#This Row],[pi_last_name]]=" ","",HYPERLINK("https://www.ejacket.nsf.gov/ej/processReviewAnalysis.do?dispatch=add&amp;uniqId="&amp;BudgetsTable[[#This Row],[prop_id]]&amp;PO_id,"&gt;ra"))</f>
        <v/>
      </c>
      <c r="N257" s="128" t="s">
        <v>13</v>
      </c>
      <c r="O257" s="7" t="str">
        <f>IF(BudgetsTable[[#This Row],[pi_last_name]]=" ","",HYPERLINK("mailto:"&amp;BudgetsTable[[#This Row],[pi_email]]&amp;"&amp;subject=Your NSF Proposal:  "&amp;BudgetsTable[[#This Row],[prop_id]],BudgetsTable[[#This Row],[pi_email]]))</f>
        <v/>
      </c>
      <c r="P257" s="128" t="s">
        <v>13</v>
      </c>
      <c r="Q257" s="128">
        <v>8</v>
      </c>
      <c r="R257" s="128">
        <v>4.5</v>
      </c>
      <c r="S257" s="129">
        <v>0</v>
      </c>
      <c r="T257" s="129">
        <v>7000</v>
      </c>
      <c r="U257" s="129">
        <v>0</v>
      </c>
      <c r="V257" s="130">
        <v>499998</v>
      </c>
      <c r="W257" s="128">
        <v>0</v>
      </c>
      <c r="X257" s="128">
        <v>1</v>
      </c>
      <c r="Y257" s="131" t="str">
        <f ca="1">IF(ISBLANK(BudgetsTable[[#This Row],[budg_seq_yr]]),"FY"&amp;fiscalyear,"FY"&amp;fiscalyear-1+BudgetsTable[[#This Row],[budg_seq_yr]])</f>
        <v>FY18</v>
      </c>
      <c r="Z257" s="129">
        <v>499998</v>
      </c>
      <c r="AA257" s="128" t="s">
        <v>741</v>
      </c>
      <c r="AB257" s="128" t="s">
        <v>901</v>
      </c>
      <c r="AC257" s="126" t="s">
        <v>94</v>
      </c>
      <c r="AD257" s="128" t="s">
        <v>1968</v>
      </c>
    </row>
    <row r="258" spans="1:30">
      <c r="A258" s="125" t="s">
        <v>1347</v>
      </c>
      <c r="B258" s="126" t="s">
        <v>96</v>
      </c>
      <c r="C258" s="126">
        <f>C257+(BudgetsTable[[#This Row],[lead]]&lt;&gt;K257)</f>
        <v>52</v>
      </c>
      <c r="D258" s="126">
        <f>D257*(BudgetsTable[[#This Row],[lead]]=K257)+(BudgetsTable[[#This Row],[prop_id]]&lt;&gt;A257)</f>
        <v>1</v>
      </c>
      <c r="E258" s="127">
        <v>42809.695138888892</v>
      </c>
      <c r="F258" s="128" t="s">
        <v>1965</v>
      </c>
      <c r="G258" s="128" t="s">
        <v>741</v>
      </c>
      <c r="H258" s="128" t="s">
        <v>901</v>
      </c>
      <c r="I258" s="126" t="s">
        <v>540</v>
      </c>
      <c r="J258" s="126" t="s">
        <v>13</v>
      </c>
      <c r="K258" s="128" t="s">
        <v>1347</v>
      </c>
      <c r="L258" s="7" t="str">
        <f>IF(BudgetsTable[[#This Row],[pi_last_name]]=" ","",HYPERLINK("https://www.ejacket.nsf.gov/ej/showProposal.do?Continue=Y&amp;ID="&amp;BudgetsTable[[#This Row],[prop_id]],BudgetsTable[[#This Row],[prop_id]]))</f>
        <v/>
      </c>
      <c r="M258" s="15" t="str">
        <f>IF(BudgetsTable[[#This Row],[pi_last_name]]=" ","",HYPERLINK("https://www.ejacket.nsf.gov/ej/processReviewAnalysis.do?dispatch=add&amp;uniqId="&amp;BudgetsTable[[#This Row],[prop_id]]&amp;PO_id,"&gt;ra"))</f>
        <v/>
      </c>
      <c r="N258" s="128" t="s">
        <v>13</v>
      </c>
      <c r="O258" s="7" t="str">
        <f>IF(BudgetsTable[[#This Row],[pi_last_name]]=" ","",HYPERLINK("mailto:"&amp;BudgetsTable[[#This Row],[pi_email]]&amp;"&amp;subject=Your NSF Proposal:  "&amp;BudgetsTable[[#This Row],[prop_id]],BudgetsTable[[#This Row],[pi_email]]))</f>
        <v/>
      </c>
      <c r="P258" s="128" t="s">
        <v>13</v>
      </c>
      <c r="Q258" s="128">
        <v>8</v>
      </c>
      <c r="R258" s="128">
        <v>4.5</v>
      </c>
      <c r="S258" s="129">
        <v>0</v>
      </c>
      <c r="T258" s="129">
        <v>7000</v>
      </c>
      <c r="U258" s="129">
        <v>0</v>
      </c>
      <c r="V258" s="130">
        <v>499994</v>
      </c>
      <c r="W258" s="128">
        <v>0</v>
      </c>
      <c r="X258" s="128">
        <v>2</v>
      </c>
      <c r="Y258" s="131" t="str">
        <f ca="1">IF(ISBLANK(BudgetsTable[[#This Row],[budg_seq_yr]]),"FY"&amp;fiscalyear,"FY"&amp;fiscalyear-1+BudgetsTable[[#This Row],[budg_seq_yr]])</f>
        <v>FY19</v>
      </c>
      <c r="Z258" s="129">
        <v>499994</v>
      </c>
      <c r="AA258" s="128" t="s">
        <v>741</v>
      </c>
      <c r="AB258" s="128" t="s">
        <v>901</v>
      </c>
      <c r="AC258" s="126" t="s">
        <v>94</v>
      </c>
      <c r="AD258" s="128" t="s">
        <v>1968</v>
      </c>
    </row>
    <row r="259" spans="1:30">
      <c r="A259" s="125" t="s">
        <v>1347</v>
      </c>
      <c r="B259" s="126" t="s">
        <v>96</v>
      </c>
      <c r="C259" s="126">
        <f>C258+(BudgetsTable[[#This Row],[lead]]&lt;&gt;K258)</f>
        <v>52</v>
      </c>
      <c r="D259" s="126">
        <f>D258*(BudgetsTable[[#This Row],[lead]]=K258)+(BudgetsTable[[#This Row],[prop_id]]&lt;&gt;A258)</f>
        <v>1</v>
      </c>
      <c r="E259" s="127">
        <v>42809.695138888892</v>
      </c>
      <c r="F259" s="128" t="s">
        <v>1965</v>
      </c>
      <c r="G259" s="128" t="s">
        <v>741</v>
      </c>
      <c r="H259" s="128" t="s">
        <v>901</v>
      </c>
      <c r="I259" s="126" t="s">
        <v>540</v>
      </c>
      <c r="J259" s="126" t="s">
        <v>13</v>
      </c>
      <c r="K259" s="128" t="s">
        <v>1347</v>
      </c>
      <c r="L259" s="7" t="str">
        <f>IF(BudgetsTable[[#This Row],[pi_last_name]]=" ","",HYPERLINK("https://www.ejacket.nsf.gov/ej/showProposal.do?Continue=Y&amp;ID="&amp;BudgetsTable[[#This Row],[prop_id]],BudgetsTable[[#This Row],[prop_id]]))</f>
        <v/>
      </c>
      <c r="M259" s="15" t="str">
        <f>IF(BudgetsTable[[#This Row],[pi_last_name]]=" ","",HYPERLINK("https://www.ejacket.nsf.gov/ej/processReviewAnalysis.do?dispatch=add&amp;uniqId="&amp;BudgetsTable[[#This Row],[prop_id]]&amp;PO_id,"&gt;ra"))</f>
        <v/>
      </c>
      <c r="N259" s="128" t="s">
        <v>13</v>
      </c>
      <c r="O259" s="7" t="str">
        <f>IF(BudgetsTable[[#This Row],[pi_last_name]]=" ","",HYPERLINK("mailto:"&amp;BudgetsTable[[#This Row],[pi_email]]&amp;"&amp;subject=Your NSF Proposal:  "&amp;BudgetsTable[[#This Row],[prop_id]],BudgetsTable[[#This Row],[pi_email]]))</f>
        <v/>
      </c>
      <c r="P259" s="128" t="s">
        <v>13</v>
      </c>
      <c r="Q259" s="128">
        <v>8</v>
      </c>
      <c r="R259" s="128">
        <v>4.5</v>
      </c>
      <c r="S259" s="129">
        <v>0</v>
      </c>
      <c r="T259" s="129">
        <v>7000</v>
      </c>
      <c r="U259" s="129">
        <v>0</v>
      </c>
      <c r="V259" s="130">
        <v>499992</v>
      </c>
      <c r="W259" s="128">
        <v>0</v>
      </c>
      <c r="X259" s="128">
        <v>3</v>
      </c>
      <c r="Y259" s="131" t="str">
        <f ca="1">IF(ISBLANK(BudgetsTable[[#This Row],[budg_seq_yr]]),"FY"&amp;fiscalyear,"FY"&amp;fiscalyear-1+BudgetsTable[[#This Row],[budg_seq_yr]])</f>
        <v>FY20</v>
      </c>
      <c r="Z259" s="129">
        <v>499992</v>
      </c>
      <c r="AA259" s="128" t="s">
        <v>741</v>
      </c>
      <c r="AB259" s="128" t="s">
        <v>901</v>
      </c>
      <c r="AC259" s="126" t="s">
        <v>94</v>
      </c>
      <c r="AD259" s="128" t="s">
        <v>1968</v>
      </c>
    </row>
    <row r="260" spans="1:30">
      <c r="A260" s="125" t="s">
        <v>1355</v>
      </c>
      <c r="B260" s="126" t="s">
        <v>96</v>
      </c>
      <c r="C260" s="126">
        <f>C259+(BudgetsTable[[#This Row],[lead]]&lt;&gt;K259)</f>
        <v>53</v>
      </c>
      <c r="D260" s="126">
        <f>D259*(BudgetsTable[[#This Row],[lead]]=K259)+(BudgetsTable[[#This Row],[prop_id]]&lt;&gt;A259)</f>
        <v>1</v>
      </c>
      <c r="E260" s="127">
        <v>42809.695833333331</v>
      </c>
      <c r="F260" s="128" t="s">
        <v>1965</v>
      </c>
      <c r="G260" s="128" t="s">
        <v>741</v>
      </c>
      <c r="H260" s="128" t="s">
        <v>901</v>
      </c>
      <c r="I260" s="126" t="s">
        <v>543</v>
      </c>
      <c r="J260" s="126" t="s">
        <v>2274</v>
      </c>
      <c r="K260" s="128" t="s">
        <v>1355</v>
      </c>
      <c r="L260" s="7" t="str">
        <f>IF(BudgetsTable[[#This Row],[pi_last_name]]=" ","",HYPERLINK("https://www.ejacket.nsf.gov/ej/showProposal.do?Continue=Y&amp;ID="&amp;BudgetsTable[[#This Row],[prop_id]],BudgetsTable[[#This Row],[prop_id]]))</f>
        <v>1740830</v>
      </c>
      <c r="M260" s="15" t="str">
        <f>IF(BudgetsTable[[#This Row],[pi_last_name]]=" ","",HYPERLINK("https://www.ejacket.nsf.gov/ej/processReviewAnalysis.do?dispatch=add&amp;uniqId="&amp;BudgetsTable[[#This Row],[prop_id]]&amp;PO_id,"&gt;ra"))</f>
        <v>&gt;ra</v>
      </c>
      <c r="N260" s="128" t="s">
        <v>1356</v>
      </c>
      <c r="O260" s="7" t="str">
        <f>IF(BudgetsTable[[#This Row],[pi_last_name]]=" ","",HYPERLINK("mailto:"&amp;BudgetsTable[[#This Row],[pi_email]]&amp;"&amp;subject=Your NSF Proposal:  "&amp;BudgetsTable[[#This Row],[prop_id]],BudgetsTable[[#This Row],[pi_email]]))</f>
        <v>asampson@pitt.edu</v>
      </c>
      <c r="P260" s="128" t="s">
        <v>2271</v>
      </c>
      <c r="Q260" s="128"/>
      <c r="R260" s="128"/>
      <c r="S260" s="129"/>
      <c r="T260" s="129"/>
      <c r="U260" s="129"/>
      <c r="V260" s="130"/>
      <c r="W260" s="128">
        <v>0</v>
      </c>
      <c r="X260" s="128"/>
      <c r="Y260" s="131" t="str">
        <f ca="1">IF(ISBLANK(BudgetsTable[[#This Row],[budg_seq_yr]]),"FY"&amp;fiscalyear,"FY"&amp;fiscalyear-1+BudgetsTable[[#This Row],[budg_seq_yr]])</f>
        <v>FY18</v>
      </c>
      <c r="Z260" s="129">
        <v>1412316</v>
      </c>
      <c r="AA260" s="128" t="s">
        <v>741</v>
      </c>
      <c r="AB260" s="128" t="s">
        <v>901</v>
      </c>
      <c r="AC260" s="126" t="s">
        <v>94</v>
      </c>
      <c r="AD260" s="128" t="s">
        <v>1968</v>
      </c>
    </row>
    <row r="261" spans="1:30">
      <c r="A261" s="125" t="s">
        <v>1355</v>
      </c>
      <c r="B261" s="126" t="s">
        <v>96</v>
      </c>
      <c r="C261" s="126">
        <f>C260+(BudgetsTable[[#This Row],[lead]]&lt;&gt;K260)</f>
        <v>53</v>
      </c>
      <c r="D261" s="126">
        <f>D260*(BudgetsTable[[#This Row],[lead]]=K260)+(BudgetsTable[[#This Row],[prop_id]]&lt;&gt;A260)</f>
        <v>1</v>
      </c>
      <c r="E261" s="127">
        <v>42809.695833333331</v>
      </c>
      <c r="F261" s="128" t="s">
        <v>1965</v>
      </c>
      <c r="G261" s="128" t="s">
        <v>741</v>
      </c>
      <c r="H261" s="128" t="s">
        <v>901</v>
      </c>
      <c r="I261" s="126" t="s">
        <v>543</v>
      </c>
      <c r="J261" s="126" t="s">
        <v>13</v>
      </c>
      <c r="K261" s="128" t="s">
        <v>1355</v>
      </c>
      <c r="L261" s="7" t="str">
        <f>IF(BudgetsTable[[#This Row],[pi_last_name]]=" ","",HYPERLINK("https://www.ejacket.nsf.gov/ej/showProposal.do?Continue=Y&amp;ID="&amp;BudgetsTable[[#This Row],[prop_id]],BudgetsTable[[#This Row],[prop_id]]))</f>
        <v/>
      </c>
      <c r="M261" s="15" t="str">
        <f>IF(BudgetsTable[[#This Row],[pi_last_name]]=" ","",HYPERLINK("https://www.ejacket.nsf.gov/ej/processReviewAnalysis.do?dispatch=add&amp;uniqId="&amp;BudgetsTable[[#This Row],[prop_id]]&amp;PO_id,"&gt;ra"))</f>
        <v/>
      </c>
      <c r="N261" s="128" t="s">
        <v>13</v>
      </c>
      <c r="O261" s="7" t="str">
        <f>IF(BudgetsTable[[#This Row],[pi_last_name]]=" ","",HYPERLINK("mailto:"&amp;BudgetsTable[[#This Row],[pi_email]]&amp;"&amp;subject=Your NSF Proposal:  "&amp;BudgetsTable[[#This Row],[prop_id]],BudgetsTable[[#This Row],[pi_email]]))</f>
        <v/>
      </c>
      <c r="P261" s="128" t="s">
        <v>13</v>
      </c>
      <c r="Q261" s="128">
        <v>5</v>
      </c>
      <c r="R261" s="128">
        <v>0</v>
      </c>
      <c r="S261" s="129">
        <v>0</v>
      </c>
      <c r="T261" s="129">
        <v>0</v>
      </c>
      <c r="U261" s="129">
        <v>0</v>
      </c>
      <c r="V261" s="130">
        <v>418768</v>
      </c>
      <c r="W261" s="128">
        <v>0</v>
      </c>
      <c r="X261" s="128">
        <v>1</v>
      </c>
      <c r="Y261" s="131" t="str">
        <f ca="1">IF(ISBLANK(BudgetsTable[[#This Row],[budg_seq_yr]]),"FY"&amp;fiscalyear,"FY"&amp;fiscalyear-1+BudgetsTable[[#This Row],[budg_seq_yr]])</f>
        <v>FY18</v>
      </c>
      <c r="Z261" s="129">
        <v>418768</v>
      </c>
      <c r="AA261" s="128" t="s">
        <v>741</v>
      </c>
      <c r="AB261" s="128" t="s">
        <v>901</v>
      </c>
      <c r="AC261" s="126" t="s">
        <v>94</v>
      </c>
      <c r="AD261" s="128" t="s">
        <v>1968</v>
      </c>
    </row>
    <row r="262" spans="1:30">
      <c r="A262" s="125" t="s">
        <v>1355</v>
      </c>
      <c r="B262" s="126" t="s">
        <v>96</v>
      </c>
      <c r="C262" s="126">
        <f>C261+(BudgetsTable[[#This Row],[lead]]&lt;&gt;K261)</f>
        <v>53</v>
      </c>
      <c r="D262" s="126">
        <f>D261*(BudgetsTable[[#This Row],[lead]]=K261)+(BudgetsTable[[#This Row],[prop_id]]&lt;&gt;A261)</f>
        <v>1</v>
      </c>
      <c r="E262" s="127">
        <v>42809.695833333331</v>
      </c>
      <c r="F262" s="128" t="s">
        <v>1965</v>
      </c>
      <c r="G262" s="128" t="s">
        <v>741</v>
      </c>
      <c r="H262" s="128" t="s">
        <v>901</v>
      </c>
      <c r="I262" s="126" t="s">
        <v>543</v>
      </c>
      <c r="J262" s="126" t="s">
        <v>13</v>
      </c>
      <c r="K262" s="128" t="s">
        <v>1355</v>
      </c>
      <c r="L262" s="7" t="str">
        <f>IF(BudgetsTable[[#This Row],[pi_last_name]]=" ","",HYPERLINK("https://www.ejacket.nsf.gov/ej/showProposal.do?Continue=Y&amp;ID="&amp;BudgetsTable[[#This Row],[prop_id]],BudgetsTable[[#This Row],[prop_id]]))</f>
        <v/>
      </c>
      <c r="M262" s="15" t="str">
        <f>IF(BudgetsTable[[#This Row],[pi_last_name]]=" ","",HYPERLINK("https://www.ejacket.nsf.gov/ej/processReviewAnalysis.do?dispatch=add&amp;uniqId="&amp;BudgetsTable[[#This Row],[prop_id]]&amp;PO_id,"&gt;ra"))</f>
        <v/>
      </c>
      <c r="N262" s="128" t="s">
        <v>13</v>
      </c>
      <c r="O262" s="7" t="str">
        <f>IF(BudgetsTable[[#This Row],[pi_last_name]]=" ","",HYPERLINK("mailto:"&amp;BudgetsTable[[#This Row],[pi_email]]&amp;"&amp;subject=Your NSF Proposal:  "&amp;BudgetsTable[[#This Row],[prop_id]],BudgetsTable[[#This Row],[pi_email]]))</f>
        <v/>
      </c>
      <c r="P262" s="128" t="s">
        <v>13</v>
      </c>
      <c r="Q262" s="128">
        <v>5</v>
      </c>
      <c r="R262" s="128">
        <v>0</v>
      </c>
      <c r="S262" s="129">
        <v>100734</v>
      </c>
      <c r="T262" s="129">
        <v>0</v>
      </c>
      <c r="U262" s="129">
        <v>0</v>
      </c>
      <c r="V262" s="130">
        <v>499212</v>
      </c>
      <c r="W262" s="128">
        <v>0</v>
      </c>
      <c r="X262" s="128">
        <v>2</v>
      </c>
      <c r="Y262" s="131" t="str">
        <f ca="1">IF(ISBLANK(BudgetsTable[[#This Row],[budg_seq_yr]]),"FY"&amp;fiscalyear,"FY"&amp;fiscalyear-1+BudgetsTable[[#This Row],[budg_seq_yr]])</f>
        <v>FY19</v>
      </c>
      <c r="Z262" s="129">
        <v>499212</v>
      </c>
      <c r="AA262" s="128" t="s">
        <v>741</v>
      </c>
      <c r="AB262" s="128" t="s">
        <v>901</v>
      </c>
      <c r="AC262" s="126" t="s">
        <v>94</v>
      </c>
      <c r="AD262" s="128" t="s">
        <v>1968</v>
      </c>
    </row>
    <row r="263" spans="1:30">
      <c r="A263" s="125" t="s">
        <v>1355</v>
      </c>
      <c r="B263" s="126" t="s">
        <v>96</v>
      </c>
      <c r="C263" s="126">
        <f>C262+(BudgetsTable[[#This Row],[lead]]&lt;&gt;K262)</f>
        <v>53</v>
      </c>
      <c r="D263" s="126">
        <f>D262*(BudgetsTable[[#This Row],[lead]]=K262)+(BudgetsTable[[#This Row],[prop_id]]&lt;&gt;A262)</f>
        <v>1</v>
      </c>
      <c r="E263" s="127">
        <v>42809.695833333331</v>
      </c>
      <c r="F263" s="128" t="s">
        <v>1965</v>
      </c>
      <c r="G263" s="128" t="s">
        <v>741</v>
      </c>
      <c r="H263" s="128" t="s">
        <v>901</v>
      </c>
      <c r="I263" s="126" t="s">
        <v>543</v>
      </c>
      <c r="J263" s="126" t="s">
        <v>13</v>
      </c>
      <c r="K263" s="128" t="s">
        <v>1355</v>
      </c>
      <c r="L263" s="7" t="str">
        <f>IF(BudgetsTable[[#This Row],[pi_last_name]]=" ","",HYPERLINK("https://www.ejacket.nsf.gov/ej/showProposal.do?Continue=Y&amp;ID="&amp;BudgetsTable[[#This Row],[prop_id]],BudgetsTable[[#This Row],[prop_id]]))</f>
        <v/>
      </c>
      <c r="M263" s="15" t="str">
        <f>IF(BudgetsTable[[#This Row],[pi_last_name]]=" ","",HYPERLINK("https://www.ejacket.nsf.gov/ej/processReviewAnalysis.do?dispatch=add&amp;uniqId="&amp;BudgetsTable[[#This Row],[prop_id]]&amp;PO_id,"&gt;ra"))</f>
        <v/>
      </c>
      <c r="N263" s="128" t="s">
        <v>13</v>
      </c>
      <c r="O263" s="7" t="str">
        <f>IF(BudgetsTable[[#This Row],[pi_last_name]]=" ","",HYPERLINK("mailto:"&amp;BudgetsTable[[#This Row],[pi_email]]&amp;"&amp;subject=Your NSF Proposal:  "&amp;BudgetsTable[[#This Row],[prop_id]],BudgetsTable[[#This Row],[pi_email]]))</f>
        <v/>
      </c>
      <c r="P263" s="128" t="s">
        <v>13</v>
      </c>
      <c r="Q263" s="128">
        <v>5</v>
      </c>
      <c r="R263" s="128">
        <v>0</v>
      </c>
      <c r="S263" s="129">
        <v>103756</v>
      </c>
      <c r="T263" s="129">
        <v>0</v>
      </c>
      <c r="U263" s="129">
        <v>0</v>
      </c>
      <c r="V263" s="130">
        <v>494336</v>
      </c>
      <c r="W263" s="128">
        <v>0</v>
      </c>
      <c r="X263" s="128">
        <v>3</v>
      </c>
      <c r="Y263" s="131" t="str">
        <f ca="1">IF(ISBLANK(BudgetsTable[[#This Row],[budg_seq_yr]]),"FY"&amp;fiscalyear,"FY"&amp;fiscalyear-1+BudgetsTable[[#This Row],[budg_seq_yr]])</f>
        <v>FY20</v>
      </c>
      <c r="Z263" s="129">
        <v>494336</v>
      </c>
      <c r="AA263" s="128" t="s">
        <v>741</v>
      </c>
      <c r="AB263" s="128" t="s">
        <v>901</v>
      </c>
      <c r="AC263" s="126" t="s">
        <v>94</v>
      </c>
      <c r="AD263" s="128" t="s">
        <v>1968</v>
      </c>
    </row>
    <row r="264" spans="1:30">
      <c r="A264" s="125" t="s">
        <v>1363</v>
      </c>
      <c r="B264" s="126" t="s">
        <v>96</v>
      </c>
      <c r="C264" s="126">
        <f>C263+(BudgetsTable[[#This Row],[lead]]&lt;&gt;K263)</f>
        <v>54</v>
      </c>
      <c r="D264" s="126">
        <f>D263*(BudgetsTable[[#This Row],[lead]]=K263)+(BudgetsTable[[#This Row],[prop_id]]&lt;&gt;A263)</f>
        <v>1</v>
      </c>
      <c r="E264" s="127">
        <v>42809.700694444444</v>
      </c>
      <c r="F264" s="128" t="s">
        <v>1965</v>
      </c>
      <c r="G264" s="128" t="s">
        <v>741</v>
      </c>
      <c r="H264" s="128" t="s">
        <v>901</v>
      </c>
      <c r="I264" s="126" t="s">
        <v>543</v>
      </c>
      <c r="J264" s="126" t="s">
        <v>2278</v>
      </c>
      <c r="K264" s="128" t="s">
        <v>1363</v>
      </c>
      <c r="L264" s="7" t="str">
        <f>IF(BudgetsTable[[#This Row],[pi_last_name]]=" ","",HYPERLINK("https://www.ejacket.nsf.gov/ej/showProposal.do?Continue=Y&amp;ID="&amp;BudgetsTable[[#This Row],[prop_id]],BudgetsTable[[#This Row],[prop_id]]))</f>
        <v>1740831</v>
      </c>
      <c r="M264" s="15" t="str">
        <f>IF(BudgetsTable[[#This Row],[pi_last_name]]=" ","",HYPERLINK("https://www.ejacket.nsf.gov/ej/processReviewAnalysis.do?dispatch=add&amp;uniqId="&amp;BudgetsTable[[#This Row],[prop_id]]&amp;PO_id,"&gt;ra"))</f>
        <v>&gt;ra</v>
      </c>
      <c r="N264" s="128" t="s">
        <v>1364</v>
      </c>
      <c r="O264" s="7" t="str">
        <f>IF(BudgetsTable[[#This Row],[pi_last_name]]=" ","",HYPERLINK("mailto:"&amp;BudgetsTable[[#This Row],[pi_email]]&amp;"&amp;subject=Your NSF Proposal:  "&amp;BudgetsTable[[#This Row],[prop_id]],BudgetsTable[[#This Row],[pi_email]]))</f>
        <v>ram@usf.edu</v>
      </c>
      <c r="P264" s="128" t="s">
        <v>812</v>
      </c>
      <c r="Q264" s="128"/>
      <c r="R264" s="128"/>
      <c r="S264" s="129"/>
      <c r="T264" s="129"/>
      <c r="U264" s="129"/>
      <c r="V264" s="130"/>
      <c r="W264" s="128">
        <v>0</v>
      </c>
      <c r="X264" s="128"/>
      <c r="Y264" s="131" t="str">
        <f ca="1">IF(ISBLANK(BudgetsTable[[#This Row],[budg_seq_yr]]),"FY"&amp;fiscalyear,"FY"&amp;fiscalyear-1+BudgetsTable[[#This Row],[budg_seq_yr]])</f>
        <v>FY18</v>
      </c>
      <c r="Z264" s="129">
        <v>1464858</v>
      </c>
      <c r="AA264" s="128" t="s">
        <v>741</v>
      </c>
      <c r="AB264" s="128" t="s">
        <v>901</v>
      </c>
      <c r="AC264" s="126" t="s">
        <v>94</v>
      </c>
      <c r="AD264" s="128" t="s">
        <v>1968</v>
      </c>
    </row>
    <row r="265" spans="1:30">
      <c r="A265" s="125" t="s">
        <v>1363</v>
      </c>
      <c r="B265" s="126" t="s">
        <v>96</v>
      </c>
      <c r="C265" s="126">
        <f>C264+(BudgetsTable[[#This Row],[lead]]&lt;&gt;K264)</f>
        <v>54</v>
      </c>
      <c r="D265" s="126">
        <f>D264*(BudgetsTable[[#This Row],[lead]]=K264)+(BudgetsTable[[#This Row],[prop_id]]&lt;&gt;A264)</f>
        <v>1</v>
      </c>
      <c r="E265" s="127">
        <v>42809.700694444444</v>
      </c>
      <c r="F265" s="128" t="s">
        <v>1965</v>
      </c>
      <c r="G265" s="128" t="s">
        <v>741</v>
      </c>
      <c r="H265" s="128" t="s">
        <v>901</v>
      </c>
      <c r="I265" s="126" t="s">
        <v>543</v>
      </c>
      <c r="J265" s="126" t="s">
        <v>13</v>
      </c>
      <c r="K265" s="128" t="s">
        <v>1363</v>
      </c>
      <c r="L265" s="7" t="str">
        <f>IF(BudgetsTable[[#This Row],[pi_last_name]]=" ","",HYPERLINK("https://www.ejacket.nsf.gov/ej/showProposal.do?Continue=Y&amp;ID="&amp;BudgetsTable[[#This Row],[prop_id]],BudgetsTable[[#This Row],[prop_id]]))</f>
        <v/>
      </c>
      <c r="M265" s="15" t="str">
        <f>IF(BudgetsTable[[#This Row],[pi_last_name]]=" ","",HYPERLINK("https://www.ejacket.nsf.gov/ej/processReviewAnalysis.do?dispatch=add&amp;uniqId="&amp;BudgetsTable[[#This Row],[prop_id]]&amp;PO_id,"&gt;ra"))</f>
        <v/>
      </c>
      <c r="N265" s="128" t="s">
        <v>13</v>
      </c>
      <c r="O265" s="7" t="str">
        <f>IF(BudgetsTable[[#This Row],[pi_last_name]]=" ","",HYPERLINK("mailto:"&amp;BudgetsTable[[#This Row],[pi_email]]&amp;"&amp;subject=Your NSF Proposal:  "&amp;BudgetsTable[[#This Row],[prop_id]],BudgetsTable[[#This Row],[pi_email]]))</f>
        <v/>
      </c>
      <c r="P265" s="128" t="s">
        <v>13</v>
      </c>
      <c r="Q265" s="128">
        <v>5</v>
      </c>
      <c r="R265" s="128">
        <v>5</v>
      </c>
      <c r="S265" s="129">
        <v>0</v>
      </c>
      <c r="T265" s="129">
        <v>10000</v>
      </c>
      <c r="U265" s="129">
        <v>20536</v>
      </c>
      <c r="V265" s="130">
        <v>469905</v>
      </c>
      <c r="W265" s="128">
        <v>0</v>
      </c>
      <c r="X265" s="128">
        <v>1</v>
      </c>
      <c r="Y265" s="131" t="str">
        <f ca="1">IF(ISBLANK(BudgetsTable[[#This Row],[budg_seq_yr]]),"FY"&amp;fiscalyear,"FY"&amp;fiscalyear-1+BudgetsTable[[#This Row],[budg_seq_yr]])</f>
        <v>FY18</v>
      </c>
      <c r="Z265" s="129">
        <v>469905</v>
      </c>
      <c r="AA265" s="128" t="s">
        <v>741</v>
      </c>
      <c r="AB265" s="128" t="s">
        <v>901</v>
      </c>
      <c r="AC265" s="126" t="s">
        <v>94</v>
      </c>
      <c r="AD265" s="128" t="s">
        <v>1968</v>
      </c>
    </row>
    <row r="266" spans="1:30">
      <c r="A266" s="125" t="s">
        <v>1363</v>
      </c>
      <c r="B266" s="126" t="s">
        <v>96</v>
      </c>
      <c r="C266" s="126">
        <f>C265+(BudgetsTable[[#This Row],[lead]]&lt;&gt;K265)</f>
        <v>54</v>
      </c>
      <c r="D266" s="126">
        <f>D265*(BudgetsTable[[#This Row],[lead]]=K265)+(BudgetsTable[[#This Row],[prop_id]]&lt;&gt;A265)</f>
        <v>1</v>
      </c>
      <c r="E266" s="127">
        <v>42809.700694444444</v>
      </c>
      <c r="F266" s="128" t="s">
        <v>1965</v>
      </c>
      <c r="G266" s="128" t="s">
        <v>741</v>
      </c>
      <c r="H266" s="128" t="s">
        <v>901</v>
      </c>
      <c r="I266" s="126" t="s">
        <v>543</v>
      </c>
      <c r="J266" s="126" t="s">
        <v>13</v>
      </c>
      <c r="K266" s="128" t="s">
        <v>1363</v>
      </c>
      <c r="L266" s="7" t="str">
        <f>IF(BudgetsTable[[#This Row],[pi_last_name]]=" ","",HYPERLINK("https://www.ejacket.nsf.gov/ej/showProposal.do?Continue=Y&amp;ID="&amp;BudgetsTable[[#This Row],[prop_id]],BudgetsTable[[#This Row],[prop_id]]))</f>
        <v/>
      </c>
      <c r="M266" s="15" t="str">
        <f>IF(BudgetsTable[[#This Row],[pi_last_name]]=" ","",HYPERLINK("https://www.ejacket.nsf.gov/ej/processReviewAnalysis.do?dispatch=add&amp;uniqId="&amp;BudgetsTable[[#This Row],[prop_id]]&amp;PO_id,"&gt;ra"))</f>
        <v/>
      </c>
      <c r="N266" s="128" t="s">
        <v>13</v>
      </c>
      <c r="O266" s="7" t="str">
        <f>IF(BudgetsTable[[#This Row],[pi_last_name]]=" ","",HYPERLINK("mailto:"&amp;BudgetsTable[[#This Row],[pi_email]]&amp;"&amp;subject=Your NSF Proposal:  "&amp;BudgetsTable[[#This Row],[prop_id]],BudgetsTable[[#This Row],[pi_email]]))</f>
        <v/>
      </c>
      <c r="P266" s="128" t="s">
        <v>13</v>
      </c>
      <c r="Q266" s="128">
        <v>5</v>
      </c>
      <c r="R266" s="128">
        <v>5</v>
      </c>
      <c r="S266" s="129">
        <v>0</v>
      </c>
      <c r="T266" s="129">
        <v>10000</v>
      </c>
      <c r="U266" s="129">
        <v>28536</v>
      </c>
      <c r="V266" s="130">
        <v>495283</v>
      </c>
      <c r="W266" s="128">
        <v>0</v>
      </c>
      <c r="X266" s="128">
        <v>2</v>
      </c>
      <c r="Y266" s="131" t="str">
        <f ca="1">IF(ISBLANK(BudgetsTable[[#This Row],[budg_seq_yr]]),"FY"&amp;fiscalyear,"FY"&amp;fiscalyear-1+BudgetsTable[[#This Row],[budg_seq_yr]])</f>
        <v>FY19</v>
      </c>
      <c r="Z266" s="129">
        <v>495283</v>
      </c>
      <c r="AA266" s="128" t="s">
        <v>741</v>
      </c>
      <c r="AB266" s="128" t="s">
        <v>901</v>
      </c>
      <c r="AC266" s="126" t="s">
        <v>94</v>
      </c>
      <c r="AD266" s="128" t="s">
        <v>1968</v>
      </c>
    </row>
    <row r="267" spans="1:30">
      <c r="A267" s="125" t="s">
        <v>1363</v>
      </c>
      <c r="B267" s="126" t="s">
        <v>96</v>
      </c>
      <c r="C267" s="126">
        <f>C266+(BudgetsTable[[#This Row],[lead]]&lt;&gt;K266)</f>
        <v>54</v>
      </c>
      <c r="D267" s="126">
        <f>D266*(BudgetsTable[[#This Row],[lead]]=K266)+(BudgetsTable[[#This Row],[prop_id]]&lt;&gt;A266)</f>
        <v>1</v>
      </c>
      <c r="E267" s="127">
        <v>42809.700694444444</v>
      </c>
      <c r="F267" s="128" t="s">
        <v>1965</v>
      </c>
      <c r="G267" s="128" t="s">
        <v>741</v>
      </c>
      <c r="H267" s="128" t="s">
        <v>901</v>
      </c>
      <c r="I267" s="126" t="s">
        <v>543</v>
      </c>
      <c r="J267" s="126" t="s">
        <v>13</v>
      </c>
      <c r="K267" s="128" t="s">
        <v>1363</v>
      </c>
      <c r="L267" s="7" t="str">
        <f>IF(BudgetsTable[[#This Row],[pi_last_name]]=" ","",HYPERLINK("https://www.ejacket.nsf.gov/ej/showProposal.do?Continue=Y&amp;ID="&amp;BudgetsTable[[#This Row],[prop_id]],BudgetsTable[[#This Row],[prop_id]]))</f>
        <v/>
      </c>
      <c r="M267" s="15" t="str">
        <f>IF(BudgetsTable[[#This Row],[pi_last_name]]=" ","",HYPERLINK("https://www.ejacket.nsf.gov/ej/processReviewAnalysis.do?dispatch=add&amp;uniqId="&amp;BudgetsTable[[#This Row],[prop_id]]&amp;PO_id,"&gt;ra"))</f>
        <v/>
      </c>
      <c r="N267" s="128" t="s">
        <v>13</v>
      </c>
      <c r="O267" s="7" t="str">
        <f>IF(BudgetsTable[[#This Row],[pi_last_name]]=" ","",HYPERLINK("mailto:"&amp;BudgetsTable[[#This Row],[pi_email]]&amp;"&amp;subject=Your NSF Proposal:  "&amp;BudgetsTable[[#This Row],[prop_id]],BudgetsTable[[#This Row],[pi_email]]))</f>
        <v/>
      </c>
      <c r="P267" s="128" t="s">
        <v>13</v>
      </c>
      <c r="Q267" s="128">
        <v>5</v>
      </c>
      <c r="R267" s="128">
        <v>5</v>
      </c>
      <c r="S267" s="129">
        <v>0</v>
      </c>
      <c r="T267" s="129">
        <v>6500</v>
      </c>
      <c r="U267" s="129">
        <v>19328</v>
      </c>
      <c r="V267" s="130">
        <v>499670</v>
      </c>
      <c r="W267" s="128">
        <v>0</v>
      </c>
      <c r="X267" s="128">
        <v>3</v>
      </c>
      <c r="Y267" s="131" t="str">
        <f ca="1">IF(ISBLANK(BudgetsTable[[#This Row],[budg_seq_yr]]),"FY"&amp;fiscalyear,"FY"&amp;fiscalyear-1+BudgetsTable[[#This Row],[budg_seq_yr]])</f>
        <v>FY20</v>
      </c>
      <c r="Z267" s="129">
        <v>499670</v>
      </c>
      <c r="AA267" s="128" t="s">
        <v>741</v>
      </c>
      <c r="AB267" s="128" t="s">
        <v>901</v>
      </c>
      <c r="AC267" s="126" t="s">
        <v>94</v>
      </c>
      <c r="AD267" s="128" t="s">
        <v>1968</v>
      </c>
    </row>
    <row r="268" spans="1:30">
      <c r="A268" s="125" t="s">
        <v>1372</v>
      </c>
      <c r="B268" s="126" t="s">
        <v>96</v>
      </c>
      <c r="C268" s="126">
        <f>C267+(BudgetsTable[[#This Row],[lead]]&lt;&gt;K267)</f>
        <v>55</v>
      </c>
      <c r="D268" s="126">
        <f>D267*(BudgetsTable[[#This Row],[lead]]=K267)+(BudgetsTable[[#This Row],[prop_id]]&lt;&gt;A267)</f>
        <v>1</v>
      </c>
      <c r="E268" s="127">
        <v>42809.702777777777</v>
      </c>
      <c r="F268" s="128" t="s">
        <v>1965</v>
      </c>
      <c r="G268" s="128" t="s">
        <v>741</v>
      </c>
      <c r="H268" s="128" t="s">
        <v>901</v>
      </c>
      <c r="I268" s="126" t="s">
        <v>942</v>
      </c>
      <c r="J268" s="126" t="s">
        <v>2281</v>
      </c>
      <c r="K268" s="128" t="s">
        <v>1372</v>
      </c>
      <c r="L268" s="7" t="str">
        <f>IF(BudgetsTable[[#This Row],[pi_last_name]]=" ","",HYPERLINK("https://www.ejacket.nsf.gov/ej/showProposal.do?Continue=Y&amp;ID="&amp;BudgetsTable[[#This Row],[prop_id]],BudgetsTable[[#This Row],[prop_id]]))</f>
        <v>1740833</v>
      </c>
      <c r="M268" s="15" t="str">
        <f>IF(BudgetsTable[[#This Row],[pi_last_name]]=" ","",HYPERLINK("https://www.ejacket.nsf.gov/ej/processReviewAnalysis.do?dispatch=add&amp;uniqId="&amp;BudgetsTable[[#This Row],[prop_id]]&amp;PO_id,"&gt;ra"))</f>
        <v>&gt;ra</v>
      </c>
      <c r="N268" s="128" t="s">
        <v>1053</v>
      </c>
      <c r="O268" s="7" t="str">
        <f>IF(BudgetsTable[[#This Row],[pi_last_name]]=" ","",HYPERLINK("mailto:"&amp;BudgetsTable[[#This Row],[pi_email]]&amp;"&amp;subject=Your NSF Proposal:  "&amp;BudgetsTable[[#This Row],[prop_id]],BudgetsTable[[#This Row],[pi_email]]))</f>
        <v>jw2966@columbia.edu</v>
      </c>
      <c r="P268" s="128" t="s">
        <v>2101</v>
      </c>
      <c r="Q268" s="128"/>
      <c r="R268" s="128"/>
      <c r="S268" s="129"/>
      <c r="T268" s="129"/>
      <c r="U268" s="129"/>
      <c r="V268" s="130"/>
      <c r="W268" s="128">
        <v>0</v>
      </c>
      <c r="X268" s="128"/>
      <c r="Y268" s="131" t="str">
        <f ca="1">IF(ISBLANK(BudgetsTable[[#This Row],[budg_seq_yr]]),"FY"&amp;fiscalyear,"FY"&amp;fiscalyear-1+BudgetsTable[[#This Row],[budg_seq_yr]])</f>
        <v>FY18</v>
      </c>
      <c r="Z268" s="129">
        <v>1500000</v>
      </c>
      <c r="AA268" s="128" t="s">
        <v>741</v>
      </c>
      <c r="AB268" s="128" t="s">
        <v>901</v>
      </c>
      <c r="AC268" s="126" t="s">
        <v>94</v>
      </c>
      <c r="AD268" s="128" t="s">
        <v>1968</v>
      </c>
    </row>
    <row r="269" spans="1:30">
      <c r="A269" s="125" t="s">
        <v>1372</v>
      </c>
      <c r="B269" s="126" t="s">
        <v>96</v>
      </c>
      <c r="C269" s="126">
        <f>C268+(BudgetsTable[[#This Row],[lead]]&lt;&gt;K268)</f>
        <v>55</v>
      </c>
      <c r="D269" s="126">
        <f>D268*(BudgetsTable[[#This Row],[lead]]=K268)+(BudgetsTable[[#This Row],[prop_id]]&lt;&gt;A268)</f>
        <v>1</v>
      </c>
      <c r="E269" s="127">
        <v>42809.702777777777</v>
      </c>
      <c r="F269" s="128" t="s">
        <v>1965</v>
      </c>
      <c r="G269" s="128" t="s">
        <v>741</v>
      </c>
      <c r="H269" s="128" t="s">
        <v>901</v>
      </c>
      <c r="I269" s="126" t="s">
        <v>942</v>
      </c>
      <c r="J269" s="126" t="s">
        <v>13</v>
      </c>
      <c r="K269" s="128" t="s">
        <v>1372</v>
      </c>
      <c r="L269" s="7" t="str">
        <f>IF(BudgetsTable[[#This Row],[pi_last_name]]=" ","",HYPERLINK("https://www.ejacket.nsf.gov/ej/showProposal.do?Continue=Y&amp;ID="&amp;BudgetsTable[[#This Row],[prop_id]],BudgetsTable[[#This Row],[prop_id]]))</f>
        <v/>
      </c>
      <c r="M269" s="15" t="str">
        <f>IF(BudgetsTable[[#This Row],[pi_last_name]]=" ","",HYPERLINK("https://www.ejacket.nsf.gov/ej/processReviewAnalysis.do?dispatch=add&amp;uniqId="&amp;BudgetsTable[[#This Row],[prop_id]]&amp;PO_id,"&gt;ra"))</f>
        <v/>
      </c>
      <c r="N269" s="128" t="s">
        <v>13</v>
      </c>
      <c r="O269" s="7" t="str">
        <f>IF(BudgetsTable[[#This Row],[pi_last_name]]=" ","",HYPERLINK("mailto:"&amp;BudgetsTable[[#This Row],[pi_email]]&amp;"&amp;subject=Your NSF Proposal:  "&amp;BudgetsTable[[#This Row],[prop_id]],BudgetsTable[[#This Row],[pi_email]]))</f>
        <v/>
      </c>
      <c r="P269" s="128" t="s">
        <v>13</v>
      </c>
      <c r="Q269" s="128">
        <v>5</v>
      </c>
      <c r="R269" s="128">
        <v>1.25</v>
      </c>
      <c r="S269" s="129">
        <v>60000</v>
      </c>
      <c r="T269" s="129">
        <v>0</v>
      </c>
      <c r="U269" s="129">
        <v>10238</v>
      </c>
      <c r="V269" s="130">
        <v>500000</v>
      </c>
      <c r="W269" s="128">
        <v>0</v>
      </c>
      <c r="X269" s="128">
        <v>1</v>
      </c>
      <c r="Y269" s="131" t="str">
        <f ca="1">IF(ISBLANK(BudgetsTable[[#This Row],[budg_seq_yr]]),"FY"&amp;fiscalyear,"FY"&amp;fiscalyear-1+BudgetsTable[[#This Row],[budg_seq_yr]])</f>
        <v>FY18</v>
      </c>
      <c r="Z269" s="129">
        <v>500000</v>
      </c>
      <c r="AA269" s="128" t="s">
        <v>741</v>
      </c>
      <c r="AB269" s="128" t="s">
        <v>901</v>
      </c>
      <c r="AC269" s="126" t="s">
        <v>94</v>
      </c>
      <c r="AD269" s="128" t="s">
        <v>1968</v>
      </c>
    </row>
    <row r="270" spans="1:30">
      <c r="A270" s="125" t="s">
        <v>1372</v>
      </c>
      <c r="B270" s="126" t="s">
        <v>96</v>
      </c>
      <c r="C270" s="126">
        <f>C269+(BudgetsTable[[#This Row],[lead]]&lt;&gt;K269)</f>
        <v>55</v>
      </c>
      <c r="D270" s="126">
        <f>D269*(BudgetsTable[[#This Row],[lead]]=K269)+(BudgetsTable[[#This Row],[prop_id]]&lt;&gt;A269)</f>
        <v>1</v>
      </c>
      <c r="E270" s="127">
        <v>42809.702777777777</v>
      </c>
      <c r="F270" s="128" t="s">
        <v>1965</v>
      </c>
      <c r="G270" s="128" t="s">
        <v>741</v>
      </c>
      <c r="H270" s="128" t="s">
        <v>901</v>
      </c>
      <c r="I270" s="126" t="s">
        <v>942</v>
      </c>
      <c r="J270" s="126" t="s">
        <v>13</v>
      </c>
      <c r="K270" s="128" t="s">
        <v>1372</v>
      </c>
      <c r="L270" s="7" t="str">
        <f>IF(BudgetsTable[[#This Row],[pi_last_name]]=" ","",HYPERLINK("https://www.ejacket.nsf.gov/ej/showProposal.do?Continue=Y&amp;ID="&amp;BudgetsTable[[#This Row],[prop_id]],BudgetsTable[[#This Row],[prop_id]]))</f>
        <v/>
      </c>
      <c r="M270" s="15" t="str">
        <f>IF(BudgetsTable[[#This Row],[pi_last_name]]=" ","",HYPERLINK("https://www.ejacket.nsf.gov/ej/processReviewAnalysis.do?dispatch=add&amp;uniqId="&amp;BudgetsTable[[#This Row],[prop_id]]&amp;PO_id,"&gt;ra"))</f>
        <v/>
      </c>
      <c r="N270" s="128" t="s">
        <v>13</v>
      </c>
      <c r="O270" s="7" t="str">
        <f>IF(BudgetsTable[[#This Row],[pi_last_name]]=" ","",HYPERLINK("mailto:"&amp;BudgetsTable[[#This Row],[pi_email]]&amp;"&amp;subject=Your NSF Proposal:  "&amp;BudgetsTable[[#This Row],[prop_id]],BudgetsTable[[#This Row],[pi_email]]))</f>
        <v/>
      </c>
      <c r="P270" s="128" t="s">
        <v>13</v>
      </c>
      <c r="Q270" s="128">
        <v>5</v>
      </c>
      <c r="R270" s="128">
        <v>1.25</v>
      </c>
      <c r="S270" s="129">
        <v>61800</v>
      </c>
      <c r="T270" s="129">
        <v>0</v>
      </c>
      <c r="U270" s="129">
        <v>10749</v>
      </c>
      <c r="V270" s="130">
        <v>500000</v>
      </c>
      <c r="W270" s="128">
        <v>0</v>
      </c>
      <c r="X270" s="128">
        <v>2</v>
      </c>
      <c r="Y270" s="131" t="str">
        <f ca="1">IF(ISBLANK(BudgetsTable[[#This Row],[budg_seq_yr]]),"FY"&amp;fiscalyear,"FY"&amp;fiscalyear-1+BudgetsTable[[#This Row],[budg_seq_yr]])</f>
        <v>FY19</v>
      </c>
      <c r="Z270" s="129">
        <v>500000</v>
      </c>
      <c r="AA270" s="128" t="s">
        <v>741</v>
      </c>
      <c r="AB270" s="128" t="s">
        <v>901</v>
      </c>
      <c r="AC270" s="126" t="s">
        <v>94</v>
      </c>
      <c r="AD270" s="128" t="s">
        <v>1968</v>
      </c>
    </row>
    <row r="271" spans="1:30">
      <c r="A271" s="125" t="s">
        <v>1372</v>
      </c>
      <c r="B271" s="126" t="s">
        <v>96</v>
      </c>
      <c r="C271" s="126">
        <f>C270+(BudgetsTable[[#This Row],[lead]]&lt;&gt;K270)</f>
        <v>55</v>
      </c>
      <c r="D271" s="126">
        <f>D270*(BudgetsTable[[#This Row],[lead]]=K270)+(BudgetsTable[[#This Row],[prop_id]]&lt;&gt;A270)</f>
        <v>1</v>
      </c>
      <c r="E271" s="127">
        <v>42809.702777777777</v>
      </c>
      <c r="F271" s="128" t="s">
        <v>1965</v>
      </c>
      <c r="G271" s="128" t="s">
        <v>741</v>
      </c>
      <c r="H271" s="128" t="s">
        <v>901</v>
      </c>
      <c r="I271" s="126" t="s">
        <v>942</v>
      </c>
      <c r="J271" s="126" t="s">
        <v>13</v>
      </c>
      <c r="K271" s="128" t="s">
        <v>1372</v>
      </c>
      <c r="L271" s="7" t="str">
        <f>IF(BudgetsTable[[#This Row],[pi_last_name]]=" ","",HYPERLINK("https://www.ejacket.nsf.gov/ej/showProposal.do?Continue=Y&amp;ID="&amp;BudgetsTable[[#This Row],[prop_id]],BudgetsTable[[#This Row],[prop_id]]))</f>
        <v/>
      </c>
      <c r="M271" s="15" t="str">
        <f>IF(BudgetsTable[[#This Row],[pi_last_name]]=" ","",HYPERLINK("https://www.ejacket.nsf.gov/ej/processReviewAnalysis.do?dispatch=add&amp;uniqId="&amp;BudgetsTable[[#This Row],[prop_id]]&amp;PO_id,"&gt;ra"))</f>
        <v/>
      </c>
      <c r="N271" s="128" t="s">
        <v>13</v>
      </c>
      <c r="O271" s="7" t="str">
        <f>IF(BudgetsTable[[#This Row],[pi_last_name]]=" ","",HYPERLINK("mailto:"&amp;BudgetsTable[[#This Row],[pi_email]]&amp;"&amp;subject=Your NSF Proposal:  "&amp;BudgetsTable[[#This Row],[prop_id]],BudgetsTable[[#This Row],[pi_email]]))</f>
        <v/>
      </c>
      <c r="P271" s="128" t="s">
        <v>13</v>
      </c>
      <c r="Q271" s="128">
        <v>5</v>
      </c>
      <c r="R271" s="128">
        <v>1.25</v>
      </c>
      <c r="S271" s="129">
        <v>63654</v>
      </c>
      <c r="T271" s="129">
        <v>0</v>
      </c>
      <c r="U271" s="129">
        <v>11287</v>
      </c>
      <c r="V271" s="130">
        <v>500000</v>
      </c>
      <c r="W271" s="128">
        <v>0</v>
      </c>
      <c r="X271" s="128">
        <v>3</v>
      </c>
      <c r="Y271" s="131" t="str">
        <f ca="1">IF(ISBLANK(BudgetsTable[[#This Row],[budg_seq_yr]]),"FY"&amp;fiscalyear,"FY"&amp;fiscalyear-1+BudgetsTable[[#This Row],[budg_seq_yr]])</f>
        <v>FY20</v>
      </c>
      <c r="Z271" s="129">
        <v>500000</v>
      </c>
      <c r="AA271" s="128" t="s">
        <v>741</v>
      </c>
      <c r="AB271" s="128" t="s">
        <v>901</v>
      </c>
      <c r="AC271" s="126" t="s">
        <v>94</v>
      </c>
      <c r="AD271" s="128" t="s">
        <v>1968</v>
      </c>
    </row>
    <row r="272" spans="1:30">
      <c r="A272" s="125" t="s">
        <v>1380</v>
      </c>
      <c r="B272" s="126" t="s">
        <v>96</v>
      </c>
      <c r="C272" s="126">
        <f>C271+(BudgetsTable[[#This Row],[lead]]&lt;&gt;K271)</f>
        <v>56</v>
      </c>
      <c r="D272" s="126">
        <f>D271*(BudgetsTable[[#This Row],[lead]]=K271)+(BudgetsTable[[#This Row],[prop_id]]&lt;&gt;A271)</f>
        <v>1</v>
      </c>
      <c r="E272" s="127">
        <v>42809.705555555556</v>
      </c>
      <c r="F272" s="128" t="s">
        <v>1965</v>
      </c>
      <c r="G272" s="128" t="s">
        <v>741</v>
      </c>
      <c r="H272" s="128" t="s">
        <v>901</v>
      </c>
      <c r="I272" s="126" t="s">
        <v>540</v>
      </c>
      <c r="J272" s="126" t="s">
        <v>2285</v>
      </c>
      <c r="K272" s="128" t="s">
        <v>1380</v>
      </c>
      <c r="L272" s="7" t="str">
        <f>IF(BudgetsTable[[#This Row],[pi_last_name]]=" ","",HYPERLINK("https://www.ejacket.nsf.gov/ej/showProposal.do?Continue=Y&amp;ID="&amp;BudgetsTable[[#This Row],[prop_id]],BudgetsTable[[#This Row],[prop_id]]))</f>
        <v>1740834</v>
      </c>
      <c r="M272" s="15" t="str">
        <f>IF(BudgetsTable[[#This Row],[pi_last_name]]=" ","",HYPERLINK("https://www.ejacket.nsf.gov/ej/processReviewAnalysis.do?dispatch=add&amp;uniqId="&amp;BudgetsTable[[#This Row],[prop_id]]&amp;PO_id,"&gt;ra"))</f>
        <v>&gt;ra</v>
      </c>
      <c r="N272" s="128" t="s">
        <v>1381</v>
      </c>
      <c r="O272" s="7" t="str">
        <f>IF(BudgetsTable[[#This Row],[pi_last_name]]=" ","",HYPERLINK("mailto:"&amp;BudgetsTable[[#This Row],[pi_email]]&amp;"&amp;subject=Your NSF Proposal:  "&amp;BudgetsTable[[#This Row],[prop_id]],BudgetsTable[[#This Row],[pi_email]]))</f>
        <v>mischaik@math.rutgers.edu</v>
      </c>
      <c r="P272" s="128" t="s">
        <v>2283</v>
      </c>
      <c r="Q272" s="128"/>
      <c r="R272" s="128"/>
      <c r="S272" s="129"/>
      <c r="T272" s="129"/>
      <c r="U272" s="129"/>
      <c r="V272" s="130"/>
      <c r="W272" s="128">
        <v>0</v>
      </c>
      <c r="X272" s="128"/>
      <c r="Y272" s="131" t="str">
        <f ca="1">IF(ISBLANK(BudgetsTable[[#This Row],[budg_seq_yr]]),"FY"&amp;fiscalyear,"FY"&amp;fiscalyear-1+BudgetsTable[[#This Row],[budg_seq_yr]])</f>
        <v>FY18</v>
      </c>
      <c r="Z272" s="129">
        <v>1499998</v>
      </c>
      <c r="AA272" s="128" t="s">
        <v>741</v>
      </c>
      <c r="AB272" s="128" t="s">
        <v>901</v>
      </c>
      <c r="AC272" s="126" t="s">
        <v>94</v>
      </c>
      <c r="AD272" s="128" t="s">
        <v>2007</v>
      </c>
    </row>
    <row r="273" spans="1:30">
      <c r="A273" s="125" t="s">
        <v>1380</v>
      </c>
      <c r="B273" s="126" t="s">
        <v>96</v>
      </c>
      <c r="C273" s="126">
        <f>C272+(BudgetsTable[[#This Row],[lead]]&lt;&gt;K272)</f>
        <v>56</v>
      </c>
      <c r="D273" s="126">
        <f>D272*(BudgetsTable[[#This Row],[lead]]=K272)+(BudgetsTable[[#This Row],[prop_id]]&lt;&gt;A272)</f>
        <v>1</v>
      </c>
      <c r="E273" s="127">
        <v>42809.705555555556</v>
      </c>
      <c r="F273" s="128" t="s">
        <v>1965</v>
      </c>
      <c r="G273" s="128" t="s">
        <v>741</v>
      </c>
      <c r="H273" s="128" t="s">
        <v>901</v>
      </c>
      <c r="I273" s="126" t="s">
        <v>540</v>
      </c>
      <c r="J273" s="126" t="s">
        <v>13</v>
      </c>
      <c r="K273" s="128" t="s">
        <v>1380</v>
      </c>
      <c r="L273" s="7" t="str">
        <f>IF(BudgetsTable[[#This Row],[pi_last_name]]=" ","",HYPERLINK("https://www.ejacket.nsf.gov/ej/showProposal.do?Continue=Y&amp;ID="&amp;BudgetsTable[[#This Row],[prop_id]],BudgetsTable[[#This Row],[prop_id]]))</f>
        <v/>
      </c>
      <c r="M273" s="15" t="str">
        <f>IF(BudgetsTable[[#This Row],[pi_last_name]]=" ","",HYPERLINK("https://www.ejacket.nsf.gov/ej/processReviewAnalysis.do?dispatch=add&amp;uniqId="&amp;BudgetsTable[[#This Row],[prop_id]]&amp;PO_id,"&gt;ra"))</f>
        <v/>
      </c>
      <c r="N273" s="128" t="s">
        <v>13</v>
      </c>
      <c r="O273" s="7" t="str">
        <f>IF(BudgetsTable[[#This Row],[pi_last_name]]=" ","",HYPERLINK("mailto:"&amp;BudgetsTable[[#This Row],[pi_email]]&amp;"&amp;subject=Your NSF Proposal:  "&amp;BudgetsTable[[#This Row],[prop_id]],BudgetsTable[[#This Row],[pi_email]]))</f>
        <v/>
      </c>
      <c r="P273" s="128" t="s">
        <v>13</v>
      </c>
      <c r="Q273" s="128">
        <v>3</v>
      </c>
      <c r="R273" s="128">
        <v>1</v>
      </c>
      <c r="S273" s="129">
        <v>0</v>
      </c>
      <c r="T273" s="129">
        <v>0</v>
      </c>
      <c r="U273" s="129">
        <v>271449</v>
      </c>
      <c r="V273" s="130">
        <v>499998</v>
      </c>
      <c r="W273" s="128">
        <v>0</v>
      </c>
      <c r="X273" s="128">
        <v>1</v>
      </c>
      <c r="Y273" s="131" t="str">
        <f ca="1">IF(ISBLANK(BudgetsTable[[#This Row],[budg_seq_yr]]),"FY"&amp;fiscalyear,"FY"&amp;fiscalyear-1+BudgetsTable[[#This Row],[budg_seq_yr]])</f>
        <v>FY18</v>
      </c>
      <c r="Z273" s="129">
        <v>499998</v>
      </c>
      <c r="AA273" s="128" t="s">
        <v>741</v>
      </c>
      <c r="AB273" s="128" t="s">
        <v>901</v>
      </c>
      <c r="AC273" s="126" t="s">
        <v>94</v>
      </c>
      <c r="AD273" s="128" t="s">
        <v>2007</v>
      </c>
    </row>
    <row r="274" spans="1:30">
      <c r="A274" s="125" t="s">
        <v>1380</v>
      </c>
      <c r="B274" s="126" t="s">
        <v>96</v>
      </c>
      <c r="C274" s="126">
        <f>C273+(BudgetsTable[[#This Row],[lead]]&lt;&gt;K273)</f>
        <v>56</v>
      </c>
      <c r="D274" s="126">
        <f>D273*(BudgetsTable[[#This Row],[lead]]=K273)+(BudgetsTable[[#This Row],[prop_id]]&lt;&gt;A273)</f>
        <v>1</v>
      </c>
      <c r="E274" s="127">
        <v>42809.705555555556</v>
      </c>
      <c r="F274" s="128" t="s">
        <v>1965</v>
      </c>
      <c r="G274" s="128" t="s">
        <v>741</v>
      </c>
      <c r="H274" s="128" t="s">
        <v>901</v>
      </c>
      <c r="I274" s="126" t="s">
        <v>540</v>
      </c>
      <c r="J274" s="126" t="s">
        <v>13</v>
      </c>
      <c r="K274" s="128" t="s">
        <v>1380</v>
      </c>
      <c r="L274" s="7" t="str">
        <f>IF(BudgetsTable[[#This Row],[pi_last_name]]=" ","",HYPERLINK("https://www.ejacket.nsf.gov/ej/showProposal.do?Continue=Y&amp;ID="&amp;BudgetsTable[[#This Row],[prop_id]],BudgetsTable[[#This Row],[prop_id]]))</f>
        <v/>
      </c>
      <c r="M274" s="15" t="str">
        <f>IF(BudgetsTable[[#This Row],[pi_last_name]]=" ","",HYPERLINK("https://www.ejacket.nsf.gov/ej/processReviewAnalysis.do?dispatch=add&amp;uniqId="&amp;BudgetsTable[[#This Row],[prop_id]]&amp;PO_id,"&gt;ra"))</f>
        <v/>
      </c>
      <c r="N274" s="128" t="s">
        <v>13</v>
      </c>
      <c r="O274" s="7" t="str">
        <f>IF(BudgetsTable[[#This Row],[pi_last_name]]=" ","",HYPERLINK("mailto:"&amp;BudgetsTable[[#This Row],[pi_email]]&amp;"&amp;subject=Your NSF Proposal:  "&amp;BudgetsTable[[#This Row],[prop_id]],BudgetsTable[[#This Row],[pi_email]]))</f>
        <v/>
      </c>
      <c r="P274" s="128" t="s">
        <v>13</v>
      </c>
      <c r="Q274" s="128">
        <v>5</v>
      </c>
      <c r="R274" s="128">
        <v>0.5</v>
      </c>
      <c r="S274" s="129">
        <v>0</v>
      </c>
      <c r="T274" s="129">
        <v>0</v>
      </c>
      <c r="U274" s="129">
        <v>265483</v>
      </c>
      <c r="V274" s="130">
        <v>500000</v>
      </c>
      <c r="W274" s="128">
        <v>0</v>
      </c>
      <c r="X274" s="128">
        <v>2</v>
      </c>
      <c r="Y274" s="131" t="str">
        <f ca="1">IF(ISBLANK(BudgetsTable[[#This Row],[budg_seq_yr]]),"FY"&amp;fiscalyear,"FY"&amp;fiscalyear-1+BudgetsTable[[#This Row],[budg_seq_yr]])</f>
        <v>FY19</v>
      </c>
      <c r="Z274" s="129">
        <v>500000</v>
      </c>
      <c r="AA274" s="128" t="s">
        <v>741</v>
      </c>
      <c r="AB274" s="128" t="s">
        <v>901</v>
      </c>
      <c r="AC274" s="126" t="s">
        <v>94</v>
      </c>
      <c r="AD274" s="128" t="s">
        <v>2007</v>
      </c>
    </row>
    <row r="275" spans="1:30">
      <c r="A275" s="125" t="s">
        <v>1380</v>
      </c>
      <c r="B275" s="126" t="s">
        <v>96</v>
      </c>
      <c r="C275" s="126">
        <f>C274+(BudgetsTable[[#This Row],[lead]]&lt;&gt;K274)</f>
        <v>56</v>
      </c>
      <c r="D275" s="126">
        <f>D274*(BudgetsTable[[#This Row],[lead]]=K274)+(BudgetsTable[[#This Row],[prop_id]]&lt;&gt;A274)</f>
        <v>1</v>
      </c>
      <c r="E275" s="127">
        <v>42809.705555555556</v>
      </c>
      <c r="F275" s="128" t="s">
        <v>1965</v>
      </c>
      <c r="G275" s="128" t="s">
        <v>741</v>
      </c>
      <c r="H275" s="128" t="s">
        <v>901</v>
      </c>
      <c r="I275" s="126" t="s">
        <v>540</v>
      </c>
      <c r="J275" s="126" t="s">
        <v>13</v>
      </c>
      <c r="K275" s="128" t="s">
        <v>1380</v>
      </c>
      <c r="L275" s="7" t="str">
        <f>IF(BudgetsTable[[#This Row],[pi_last_name]]=" ","",HYPERLINK("https://www.ejacket.nsf.gov/ej/showProposal.do?Continue=Y&amp;ID="&amp;BudgetsTable[[#This Row],[prop_id]],BudgetsTable[[#This Row],[prop_id]]))</f>
        <v/>
      </c>
      <c r="M275" s="15" t="str">
        <f>IF(BudgetsTable[[#This Row],[pi_last_name]]=" ","",HYPERLINK("https://www.ejacket.nsf.gov/ej/processReviewAnalysis.do?dispatch=add&amp;uniqId="&amp;BudgetsTable[[#This Row],[prop_id]]&amp;PO_id,"&gt;ra"))</f>
        <v/>
      </c>
      <c r="N275" s="128" t="s">
        <v>13</v>
      </c>
      <c r="O275" s="7" t="str">
        <f>IF(BudgetsTable[[#This Row],[pi_last_name]]=" ","",HYPERLINK("mailto:"&amp;BudgetsTable[[#This Row],[pi_email]]&amp;"&amp;subject=Your NSF Proposal:  "&amp;BudgetsTable[[#This Row],[prop_id]],BudgetsTable[[#This Row],[pi_email]]))</f>
        <v/>
      </c>
      <c r="P275" s="128" t="s">
        <v>13</v>
      </c>
      <c r="Q275" s="128">
        <v>4</v>
      </c>
      <c r="R275" s="128">
        <v>0.5</v>
      </c>
      <c r="S275" s="129">
        <v>0</v>
      </c>
      <c r="T275" s="129">
        <v>0</v>
      </c>
      <c r="U275" s="129">
        <v>264316</v>
      </c>
      <c r="V275" s="130">
        <v>500000</v>
      </c>
      <c r="W275" s="128">
        <v>0</v>
      </c>
      <c r="X275" s="128">
        <v>3</v>
      </c>
      <c r="Y275" s="131" t="str">
        <f ca="1">IF(ISBLANK(BudgetsTable[[#This Row],[budg_seq_yr]]),"FY"&amp;fiscalyear,"FY"&amp;fiscalyear-1+BudgetsTable[[#This Row],[budg_seq_yr]])</f>
        <v>FY20</v>
      </c>
      <c r="Z275" s="129">
        <v>500000</v>
      </c>
      <c r="AA275" s="128" t="s">
        <v>741</v>
      </c>
      <c r="AB275" s="128" t="s">
        <v>901</v>
      </c>
      <c r="AC275" s="126" t="s">
        <v>94</v>
      </c>
      <c r="AD275" s="128" t="s">
        <v>2007</v>
      </c>
    </row>
    <row r="276" spans="1:30">
      <c r="A276" s="125" t="s">
        <v>1389</v>
      </c>
      <c r="B276" s="126" t="s">
        <v>96</v>
      </c>
      <c r="C276" s="126">
        <f>C275+(BudgetsTable[[#This Row],[lead]]&lt;&gt;K275)</f>
        <v>57</v>
      </c>
      <c r="D276" s="126">
        <f>D275*(BudgetsTable[[#This Row],[lead]]=K275)+(BudgetsTable[[#This Row],[prop_id]]&lt;&gt;A275)</f>
        <v>1</v>
      </c>
      <c r="E276" s="127">
        <v>42809.706250000003</v>
      </c>
      <c r="F276" s="128" t="s">
        <v>1965</v>
      </c>
      <c r="G276" s="128" t="s">
        <v>741</v>
      </c>
      <c r="H276" s="128" t="s">
        <v>901</v>
      </c>
      <c r="I276" s="126" t="s">
        <v>543</v>
      </c>
      <c r="J276" s="126" t="s">
        <v>2289</v>
      </c>
      <c r="K276" s="128" t="s">
        <v>1389</v>
      </c>
      <c r="L276" s="7" t="str">
        <f>IF(BudgetsTable[[#This Row],[pi_last_name]]=" ","",HYPERLINK("https://www.ejacket.nsf.gov/ej/showProposal.do?Continue=Y&amp;ID="&amp;BudgetsTable[[#This Row],[prop_id]],BudgetsTable[[#This Row],[prop_id]]))</f>
        <v>1740835</v>
      </c>
      <c r="M276" s="15" t="str">
        <f>IF(BudgetsTable[[#This Row],[pi_last_name]]=" ","",HYPERLINK("https://www.ejacket.nsf.gov/ej/processReviewAnalysis.do?dispatch=add&amp;uniqId="&amp;BudgetsTable[[#This Row],[prop_id]]&amp;PO_id,"&gt;ra"))</f>
        <v>&gt;ra</v>
      </c>
      <c r="N276" s="128" t="s">
        <v>1390</v>
      </c>
      <c r="O276" s="7" t="str">
        <f>IF(BudgetsTable[[#This Row],[pi_last_name]]=" ","",HYPERLINK("mailto:"&amp;BudgetsTable[[#This Row],[pi_email]]&amp;"&amp;subject=Your NSF Proposal:  "&amp;BudgetsTable[[#This Row],[prop_id]],BudgetsTable[[#This Row],[pi_email]]))</f>
        <v>orecchia@bu.edu</v>
      </c>
      <c r="P276" s="128" t="s">
        <v>2287</v>
      </c>
      <c r="Q276" s="128"/>
      <c r="R276" s="128"/>
      <c r="S276" s="129"/>
      <c r="T276" s="129"/>
      <c r="U276" s="129"/>
      <c r="V276" s="130"/>
      <c r="W276" s="128">
        <v>0</v>
      </c>
      <c r="X276" s="128"/>
      <c r="Y276" s="131" t="str">
        <f ca="1">IF(ISBLANK(BudgetsTable[[#This Row],[budg_seq_yr]]),"FY"&amp;fiscalyear,"FY"&amp;fiscalyear-1+BudgetsTable[[#This Row],[budg_seq_yr]])</f>
        <v>FY18</v>
      </c>
      <c r="Z276" s="129">
        <v>1493907</v>
      </c>
      <c r="AA276" s="128" t="s">
        <v>741</v>
      </c>
      <c r="AB276" s="128" t="s">
        <v>901</v>
      </c>
      <c r="AC276" s="126" t="s">
        <v>94</v>
      </c>
      <c r="AD276" s="128" t="s">
        <v>1968</v>
      </c>
    </row>
    <row r="277" spans="1:30">
      <c r="A277" s="125" t="s">
        <v>1389</v>
      </c>
      <c r="B277" s="126" t="s">
        <v>96</v>
      </c>
      <c r="C277" s="126">
        <f>C276+(BudgetsTable[[#This Row],[lead]]&lt;&gt;K276)</f>
        <v>57</v>
      </c>
      <c r="D277" s="126">
        <f>D276*(BudgetsTable[[#This Row],[lead]]=K276)+(BudgetsTable[[#This Row],[prop_id]]&lt;&gt;A276)</f>
        <v>1</v>
      </c>
      <c r="E277" s="127">
        <v>42809.706250000003</v>
      </c>
      <c r="F277" s="128" t="s">
        <v>1965</v>
      </c>
      <c r="G277" s="128" t="s">
        <v>741</v>
      </c>
      <c r="H277" s="128" t="s">
        <v>901</v>
      </c>
      <c r="I277" s="126" t="s">
        <v>543</v>
      </c>
      <c r="J277" s="126" t="s">
        <v>13</v>
      </c>
      <c r="K277" s="128" t="s">
        <v>1389</v>
      </c>
      <c r="L277" s="7" t="str">
        <f>IF(BudgetsTable[[#This Row],[pi_last_name]]=" ","",HYPERLINK("https://www.ejacket.nsf.gov/ej/showProposal.do?Continue=Y&amp;ID="&amp;BudgetsTable[[#This Row],[prop_id]],BudgetsTable[[#This Row],[prop_id]]))</f>
        <v/>
      </c>
      <c r="M277" s="15" t="str">
        <f>IF(BudgetsTable[[#This Row],[pi_last_name]]=" ","",HYPERLINK("https://www.ejacket.nsf.gov/ej/processReviewAnalysis.do?dispatch=add&amp;uniqId="&amp;BudgetsTable[[#This Row],[prop_id]]&amp;PO_id,"&gt;ra"))</f>
        <v/>
      </c>
      <c r="N277" s="128" t="s">
        <v>13</v>
      </c>
      <c r="O277" s="7" t="str">
        <f>IF(BudgetsTable[[#This Row],[pi_last_name]]=" ","",HYPERLINK("mailto:"&amp;BudgetsTable[[#This Row],[pi_email]]&amp;"&amp;subject=Your NSF Proposal:  "&amp;BudgetsTable[[#This Row],[prop_id]],BudgetsTable[[#This Row],[pi_email]]))</f>
        <v/>
      </c>
      <c r="P277" s="128" t="s">
        <v>13</v>
      </c>
      <c r="Q277" s="128">
        <v>10</v>
      </c>
      <c r="R277" s="128">
        <v>2.4500000000000002</v>
      </c>
      <c r="S277" s="129">
        <v>0</v>
      </c>
      <c r="T277" s="129">
        <v>0</v>
      </c>
      <c r="U277" s="129">
        <v>318990</v>
      </c>
      <c r="V277" s="130">
        <v>496136</v>
      </c>
      <c r="W277" s="128">
        <v>0</v>
      </c>
      <c r="X277" s="128">
        <v>1</v>
      </c>
      <c r="Y277" s="131" t="str">
        <f ca="1">IF(ISBLANK(BudgetsTable[[#This Row],[budg_seq_yr]]),"FY"&amp;fiscalyear,"FY"&amp;fiscalyear-1+BudgetsTable[[#This Row],[budg_seq_yr]])</f>
        <v>FY18</v>
      </c>
      <c r="Z277" s="129">
        <v>496136</v>
      </c>
      <c r="AA277" s="128" t="s">
        <v>741</v>
      </c>
      <c r="AB277" s="128" t="s">
        <v>901</v>
      </c>
      <c r="AC277" s="126" t="s">
        <v>94</v>
      </c>
      <c r="AD277" s="128" t="s">
        <v>1968</v>
      </c>
    </row>
    <row r="278" spans="1:30">
      <c r="A278" s="125" t="s">
        <v>1389</v>
      </c>
      <c r="B278" s="126" t="s">
        <v>96</v>
      </c>
      <c r="C278" s="126">
        <f>C277+(BudgetsTable[[#This Row],[lead]]&lt;&gt;K277)</f>
        <v>57</v>
      </c>
      <c r="D278" s="126">
        <f>D277*(BudgetsTable[[#This Row],[lead]]=K277)+(BudgetsTable[[#This Row],[prop_id]]&lt;&gt;A277)</f>
        <v>1</v>
      </c>
      <c r="E278" s="127">
        <v>42809.706250000003</v>
      </c>
      <c r="F278" s="128" t="s">
        <v>1965</v>
      </c>
      <c r="G278" s="128" t="s">
        <v>741</v>
      </c>
      <c r="H278" s="128" t="s">
        <v>901</v>
      </c>
      <c r="I278" s="126" t="s">
        <v>543</v>
      </c>
      <c r="J278" s="126" t="s">
        <v>13</v>
      </c>
      <c r="K278" s="128" t="s">
        <v>1389</v>
      </c>
      <c r="L278" s="7" t="str">
        <f>IF(BudgetsTable[[#This Row],[pi_last_name]]=" ","",HYPERLINK("https://www.ejacket.nsf.gov/ej/showProposal.do?Continue=Y&amp;ID="&amp;BudgetsTable[[#This Row],[prop_id]],BudgetsTable[[#This Row],[prop_id]]))</f>
        <v/>
      </c>
      <c r="M278" s="15" t="str">
        <f>IF(BudgetsTable[[#This Row],[pi_last_name]]=" ","",HYPERLINK("https://www.ejacket.nsf.gov/ej/processReviewAnalysis.do?dispatch=add&amp;uniqId="&amp;BudgetsTable[[#This Row],[prop_id]]&amp;PO_id,"&gt;ra"))</f>
        <v/>
      </c>
      <c r="N278" s="128" t="s">
        <v>13</v>
      </c>
      <c r="O278" s="7" t="str">
        <f>IF(BudgetsTable[[#This Row],[pi_last_name]]=" ","",HYPERLINK("mailto:"&amp;BudgetsTable[[#This Row],[pi_email]]&amp;"&amp;subject=Your NSF Proposal:  "&amp;BudgetsTable[[#This Row],[prop_id]],BudgetsTable[[#This Row],[pi_email]]))</f>
        <v/>
      </c>
      <c r="P278" s="128" t="s">
        <v>13</v>
      </c>
      <c r="Q278" s="128">
        <v>10</v>
      </c>
      <c r="R278" s="128">
        <v>2.4500000000000002</v>
      </c>
      <c r="S278" s="129">
        <v>0</v>
      </c>
      <c r="T278" s="129">
        <v>0</v>
      </c>
      <c r="U278" s="129">
        <v>318990</v>
      </c>
      <c r="V278" s="130">
        <v>498566</v>
      </c>
      <c r="W278" s="128">
        <v>0</v>
      </c>
      <c r="X278" s="128">
        <v>2</v>
      </c>
      <c r="Y278" s="131" t="str">
        <f ca="1">IF(ISBLANK(BudgetsTable[[#This Row],[budg_seq_yr]]),"FY"&amp;fiscalyear,"FY"&amp;fiscalyear-1+BudgetsTable[[#This Row],[budg_seq_yr]])</f>
        <v>FY19</v>
      </c>
      <c r="Z278" s="129">
        <v>498566</v>
      </c>
      <c r="AA278" s="128" t="s">
        <v>741</v>
      </c>
      <c r="AB278" s="128" t="s">
        <v>901</v>
      </c>
      <c r="AC278" s="126" t="s">
        <v>94</v>
      </c>
      <c r="AD278" s="128" t="s">
        <v>1968</v>
      </c>
    </row>
    <row r="279" spans="1:30">
      <c r="A279" s="125" t="s">
        <v>1389</v>
      </c>
      <c r="B279" s="126" t="s">
        <v>96</v>
      </c>
      <c r="C279" s="126">
        <f>C278+(BudgetsTable[[#This Row],[lead]]&lt;&gt;K278)</f>
        <v>57</v>
      </c>
      <c r="D279" s="126">
        <f>D278*(BudgetsTable[[#This Row],[lead]]=K278)+(BudgetsTable[[#This Row],[prop_id]]&lt;&gt;A278)</f>
        <v>1</v>
      </c>
      <c r="E279" s="127">
        <v>42809.706250000003</v>
      </c>
      <c r="F279" s="128" t="s">
        <v>1965</v>
      </c>
      <c r="G279" s="128" t="s">
        <v>741</v>
      </c>
      <c r="H279" s="128" t="s">
        <v>901</v>
      </c>
      <c r="I279" s="126" t="s">
        <v>543</v>
      </c>
      <c r="J279" s="126" t="s">
        <v>13</v>
      </c>
      <c r="K279" s="128" t="s">
        <v>1389</v>
      </c>
      <c r="L279" s="7" t="str">
        <f>IF(BudgetsTable[[#This Row],[pi_last_name]]=" ","",HYPERLINK("https://www.ejacket.nsf.gov/ej/showProposal.do?Continue=Y&amp;ID="&amp;BudgetsTable[[#This Row],[prop_id]],BudgetsTable[[#This Row],[prop_id]]))</f>
        <v/>
      </c>
      <c r="M279" s="15" t="str">
        <f>IF(BudgetsTable[[#This Row],[pi_last_name]]=" ","",HYPERLINK("https://www.ejacket.nsf.gov/ej/processReviewAnalysis.do?dispatch=add&amp;uniqId="&amp;BudgetsTable[[#This Row],[prop_id]]&amp;PO_id,"&gt;ra"))</f>
        <v/>
      </c>
      <c r="N279" s="128" t="s">
        <v>13</v>
      </c>
      <c r="O279" s="7" t="str">
        <f>IF(BudgetsTable[[#This Row],[pi_last_name]]=" ","",HYPERLINK("mailto:"&amp;BudgetsTable[[#This Row],[pi_email]]&amp;"&amp;subject=Your NSF Proposal:  "&amp;BudgetsTable[[#This Row],[prop_id]],BudgetsTable[[#This Row],[pi_email]]))</f>
        <v/>
      </c>
      <c r="P279" s="128" t="s">
        <v>13</v>
      </c>
      <c r="Q279" s="128">
        <v>10</v>
      </c>
      <c r="R279" s="128">
        <v>2.4500000000000002</v>
      </c>
      <c r="S279" s="129">
        <v>0</v>
      </c>
      <c r="T279" s="129">
        <v>0</v>
      </c>
      <c r="U279" s="129">
        <v>318990</v>
      </c>
      <c r="V279" s="130">
        <v>499205</v>
      </c>
      <c r="W279" s="128">
        <v>0</v>
      </c>
      <c r="X279" s="128">
        <v>3</v>
      </c>
      <c r="Y279" s="131" t="str">
        <f ca="1">IF(ISBLANK(BudgetsTable[[#This Row],[budg_seq_yr]]),"FY"&amp;fiscalyear,"FY"&amp;fiscalyear-1+BudgetsTable[[#This Row],[budg_seq_yr]])</f>
        <v>FY20</v>
      </c>
      <c r="Z279" s="129">
        <v>499205</v>
      </c>
      <c r="AA279" s="128" t="s">
        <v>741</v>
      </c>
      <c r="AB279" s="128" t="s">
        <v>901</v>
      </c>
      <c r="AC279" s="126" t="s">
        <v>94</v>
      </c>
      <c r="AD279" s="128" t="s">
        <v>1968</v>
      </c>
    </row>
    <row r="280" spans="1:30">
      <c r="A280" s="125" t="s">
        <v>1395</v>
      </c>
      <c r="B280" s="126" t="s">
        <v>96</v>
      </c>
      <c r="C280" s="126">
        <f>C279+(BudgetsTable[[#This Row],[lead]]&lt;&gt;K279)</f>
        <v>58</v>
      </c>
      <c r="D280" s="126">
        <f>D279*(BudgetsTable[[#This Row],[lead]]=K279)+(BudgetsTable[[#This Row],[prop_id]]&lt;&gt;A279)</f>
        <v>1</v>
      </c>
      <c r="E280" s="127">
        <v>42809.708333333336</v>
      </c>
      <c r="F280" s="128" t="s">
        <v>1965</v>
      </c>
      <c r="G280" s="128" t="s">
        <v>741</v>
      </c>
      <c r="H280" s="128" t="s">
        <v>901</v>
      </c>
      <c r="I280" s="126" t="s">
        <v>948</v>
      </c>
      <c r="J280" s="126" t="s">
        <v>2293</v>
      </c>
      <c r="K280" s="128" t="s">
        <v>1395</v>
      </c>
      <c r="L280" s="7" t="str">
        <f>IF(BudgetsTable[[#This Row],[pi_last_name]]=" ","",HYPERLINK("https://www.ejacket.nsf.gov/ej/showProposal.do?Continue=Y&amp;ID="&amp;BudgetsTable[[#This Row],[prop_id]],BudgetsTable[[#This Row],[prop_id]]))</f>
        <v>1740836</v>
      </c>
      <c r="M280" s="15" t="str">
        <f>IF(BudgetsTable[[#This Row],[pi_last_name]]=" ","",HYPERLINK("https://www.ejacket.nsf.gov/ej/processReviewAnalysis.do?dispatch=add&amp;uniqId="&amp;BudgetsTable[[#This Row],[prop_id]]&amp;PO_id,"&gt;ra"))</f>
        <v>&gt;ra</v>
      </c>
      <c r="N280" s="128" t="s">
        <v>1396</v>
      </c>
      <c r="O280" s="7" t="str">
        <f>IF(BudgetsTable[[#This Row],[pi_last_name]]=" ","",HYPERLINK("mailto:"&amp;BudgetsTable[[#This Row],[pi_email]]&amp;"&amp;subject=Your NSF Proposal:  "&amp;BudgetsTable[[#This Row],[prop_id]],BudgetsTable[[#This Row],[pi_email]]))</f>
        <v>tanyabw@uic.edu</v>
      </c>
      <c r="P280" s="128" t="s">
        <v>2291</v>
      </c>
      <c r="Q280" s="128"/>
      <c r="R280" s="128"/>
      <c r="S280" s="129"/>
      <c r="T280" s="129"/>
      <c r="U280" s="129"/>
      <c r="V280" s="130"/>
      <c r="W280" s="128">
        <v>1</v>
      </c>
      <c r="X280" s="128"/>
      <c r="Y280" s="131" t="str">
        <f ca="1">IF(ISBLANK(BudgetsTable[[#This Row],[budg_seq_yr]]),"FY"&amp;fiscalyear,"FY"&amp;fiscalyear-1+BudgetsTable[[#This Row],[budg_seq_yr]])</f>
        <v>FY18</v>
      </c>
      <c r="Z280" s="129">
        <v>1500000</v>
      </c>
      <c r="AA280" s="128" t="s">
        <v>741</v>
      </c>
      <c r="AB280" s="128" t="s">
        <v>901</v>
      </c>
      <c r="AC280" s="126" t="s">
        <v>94</v>
      </c>
      <c r="AD280" s="128" t="s">
        <v>2007</v>
      </c>
    </row>
    <row r="281" spans="1:30">
      <c r="A281" s="125" t="s">
        <v>1395</v>
      </c>
      <c r="B281" s="126" t="s">
        <v>96</v>
      </c>
      <c r="C281" s="126">
        <f>C280+(BudgetsTable[[#This Row],[lead]]&lt;&gt;K280)</f>
        <v>58</v>
      </c>
      <c r="D281" s="126">
        <f>D280*(BudgetsTable[[#This Row],[lead]]=K280)+(BudgetsTable[[#This Row],[prop_id]]&lt;&gt;A280)</f>
        <v>1</v>
      </c>
      <c r="E281" s="127">
        <v>42809.708333333336</v>
      </c>
      <c r="F281" s="128" t="s">
        <v>1965</v>
      </c>
      <c r="G281" s="128" t="s">
        <v>741</v>
      </c>
      <c r="H281" s="128" t="s">
        <v>901</v>
      </c>
      <c r="I281" s="126" t="s">
        <v>948</v>
      </c>
      <c r="J281" s="126" t="s">
        <v>13</v>
      </c>
      <c r="K281" s="128" t="s">
        <v>1395</v>
      </c>
      <c r="L281" s="7" t="str">
        <f>IF(BudgetsTable[[#This Row],[pi_last_name]]=" ","",HYPERLINK("https://www.ejacket.nsf.gov/ej/showProposal.do?Continue=Y&amp;ID="&amp;BudgetsTable[[#This Row],[prop_id]],BudgetsTable[[#This Row],[prop_id]]))</f>
        <v/>
      </c>
      <c r="M281" s="15" t="str">
        <f>IF(BudgetsTable[[#This Row],[pi_last_name]]=" ","",HYPERLINK("https://www.ejacket.nsf.gov/ej/processReviewAnalysis.do?dispatch=add&amp;uniqId="&amp;BudgetsTable[[#This Row],[prop_id]]&amp;PO_id,"&gt;ra"))</f>
        <v/>
      </c>
      <c r="N281" s="128" t="s">
        <v>13</v>
      </c>
      <c r="O281" s="7" t="str">
        <f>IF(BudgetsTable[[#This Row],[pi_last_name]]=" ","",HYPERLINK("mailto:"&amp;BudgetsTable[[#This Row],[pi_email]]&amp;"&amp;subject=Your NSF Proposal:  "&amp;BudgetsTable[[#This Row],[prop_id]],BudgetsTable[[#This Row],[pi_email]]))</f>
        <v/>
      </c>
      <c r="P281" s="128" t="s">
        <v>13</v>
      </c>
      <c r="Q281" s="128">
        <v>4</v>
      </c>
      <c r="R281" s="128">
        <v>2.64</v>
      </c>
      <c r="S281" s="129">
        <v>25000</v>
      </c>
      <c r="T281" s="129">
        <v>17916</v>
      </c>
      <c r="U281" s="129">
        <v>0</v>
      </c>
      <c r="V281" s="130">
        <v>500000</v>
      </c>
      <c r="W281" s="128">
        <v>1</v>
      </c>
      <c r="X281" s="128">
        <v>1</v>
      </c>
      <c r="Y281" s="131" t="str">
        <f ca="1">IF(ISBLANK(BudgetsTable[[#This Row],[budg_seq_yr]]),"FY"&amp;fiscalyear,"FY"&amp;fiscalyear-1+BudgetsTable[[#This Row],[budg_seq_yr]])</f>
        <v>FY18</v>
      </c>
      <c r="Z281" s="129">
        <v>500000</v>
      </c>
      <c r="AA281" s="128" t="s">
        <v>741</v>
      </c>
      <c r="AB281" s="128" t="s">
        <v>901</v>
      </c>
      <c r="AC281" s="126" t="s">
        <v>94</v>
      </c>
      <c r="AD281" s="128" t="s">
        <v>2007</v>
      </c>
    </row>
    <row r="282" spans="1:30">
      <c r="A282" s="125" t="s">
        <v>1395</v>
      </c>
      <c r="B282" s="126" t="s">
        <v>96</v>
      </c>
      <c r="C282" s="126">
        <f>C281+(BudgetsTable[[#This Row],[lead]]&lt;&gt;K281)</f>
        <v>58</v>
      </c>
      <c r="D282" s="126">
        <f>D281*(BudgetsTable[[#This Row],[lead]]=K281)+(BudgetsTable[[#This Row],[prop_id]]&lt;&gt;A281)</f>
        <v>1</v>
      </c>
      <c r="E282" s="127">
        <v>42809.708333333336</v>
      </c>
      <c r="F282" s="128" t="s">
        <v>1965</v>
      </c>
      <c r="G282" s="128" t="s">
        <v>741</v>
      </c>
      <c r="H282" s="128" t="s">
        <v>901</v>
      </c>
      <c r="I282" s="126" t="s">
        <v>948</v>
      </c>
      <c r="J282" s="126" t="s">
        <v>13</v>
      </c>
      <c r="K282" s="128" t="s">
        <v>1395</v>
      </c>
      <c r="L282" s="7" t="str">
        <f>IF(BudgetsTable[[#This Row],[pi_last_name]]=" ","",HYPERLINK("https://www.ejacket.nsf.gov/ej/showProposal.do?Continue=Y&amp;ID="&amp;BudgetsTable[[#This Row],[prop_id]],BudgetsTable[[#This Row],[prop_id]]))</f>
        <v/>
      </c>
      <c r="M282" s="15" t="str">
        <f>IF(BudgetsTable[[#This Row],[pi_last_name]]=" ","",HYPERLINK("https://www.ejacket.nsf.gov/ej/processReviewAnalysis.do?dispatch=add&amp;uniqId="&amp;BudgetsTable[[#This Row],[prop_id]]&amp;PO_id,"&gt;ra"))</f>
        <v/>
      </c>
      <c r="N282" s="128" t="s">
        <v>13</v>
      </c>
      <c r="O282" s="7" t="str">
        <f>IF(BudgetsTable[[#This Row],[pi_last_name]]=" ","",HYPERLINK("mailto:"&amp;BudgetsTable[[#This Row],[pi_email]]&amp;"&amp;subject=Your NSF Proposal:  "&amp;BudgetsTable[[#This Row],[prop_id]],BudgetsTable[[#This Row],[pi_email]]))</f>
        <v/>
      </c>
      <c r="P282" s="128" t="s">
        <v>13</v>
      </c>
      <c r="Q282" s="128">
        <v>4</v>
      </c>
      <c r="R282" s="128">
        <v>2.64</v>
      </c>
      <c r="S282" s="129">
        <v>25750</v>
      </c>
      <c r="T282" s="129">
        <v>13587</v>
      </c>
      <c r="U282" s="129">
        <v>0</v>
      </c>
      <c r="V282" s="130">
        <v>500000</v>
      </c>
      <c r="W282" s="128">
        <v>1</v>
      </c>
      <c r="X282" s="128">
        <v>2</v>
      </c>
      <c r="Y282" s="131" t="str">
        <f ca="1">IF(ISBLANK(BudgetsTable[[#This Row],[budg_seq_yr]]),"FY"&amp;fiscalyear,"FY"&amp;fiscalyear-1+BudgetsTable[[#This Row],[budg_seq_yr]])</f>
        <v>FY19</v>
      </c>
      <c r="Z282" s="129">
        <v>500000</v>
      </c>
      <c r="AA282" s="128" t="s">
        <v>741</v>
      </c>
      <c r="AB282" s="128" t="s">
        <v>901</v>
      </c>
      <c r="AC282" s="126" t="s">
        <v>94</v>
      </c>
      <c r="AD282" s="128" t="s">
        <v>2007</v>
      </c>
    </row>
    <row r="283" spans="1:30">
      <c r="A283" s="125" t="s">
        <v>1395</v>
      </c>
      <c r="B283" s="126" t="s">
        <v>96</v>
      </c>
      <c r="C283" s="126">
        <f>C282+(BudgetsTable[[#This Row],[lead]]&lt;&gt;K282)</f>
        <v>58</v>
      </c>
      <c r="D283" s="126">
        <f>D282*(BudgetsTable[[#This Row],[lead]]=K282)+(BudgetsTable[[#This Row],[prop_id]]&lt;&gt;A282)</f>
        <v>1</v>
      </c>
      <c r="E283" s="127">
        <v>42809.708333333336</v>
      </c>
      <c r="F283" s="128" t="s">
        <v>1965</v>
      </c>
      <c r="G283" s="128" t="s">
        <v>741</v>
      </c>
      <c r="H283" s="128" t="s">
        <v>901</v>
      </c>
      <c r="I283" s="126" t="s">
        <v>948</v>
      </c>
      <c r="J283" s="126" t="s">
        <v>13</v>
      </c>
      <c r="K283" s="128" t="s">
        <v>1395</v>
      </c>
      <c r="L283" s="7" t="str">
        <f>IF(BudgetsTable[[#This Row],[pi_last_name]]=" ","",HYPERLINK("https://www.ejacket.nsf.gov/ej/showProposal.do?Continue=Y&amp;ID="&amp;BudgetsTable[[#This Row],[prop_id]],BudgetsTable[[#This Row],[prop_id]]))</f>
        <v/>
      </c>
      <c r="M283" s="15" t="str">
        <f>IF(BudgetsTable[[#This Row],[pi_last_name]]=" ","",HYPERLINK("https://www.ejacket.nsf.gov/ej/processReviewAnalysis.do?dispatch=add&amp;uniqId="&amp;BudgetsTable[[#This Row],[prop_id]]&amp;PO_id,"&gt;ra"))</f>
        <v/>
      </c>
      <c r="N283" s="128" t="s">
        <v>13</v>
      </c>
      <c r="O283" s="7" t="str">
        <f>IF(BudgetsTable[[#This Row],[pi_last_name]]=" ","",HYPERLINK("mailto:"&amp;BudgetsTable[[#This Row],[pi_email]]&amp;"&amp;subject=Your NSF Proposal:  "&amp;BudgetsTable[[#This Row],[prop_id]],BudgetsTable[[#This Row],[pi_email]]))</f>
        <v/>
      </c>
      <c r="P283" s="128" t="s">
        <v>13</v>
      </c>
      <c r="Q283" s="128">
        <v>4</v>
      </c>
      <c r="R283" s="128">
        <v>2.64</v>
      </c>
      <c r="S283" s="129">
        <v>26523</v>
      </c>
      <c r="T283" s="129">
        <v>9093</v>
      </c>
      <c r="U283" s="129">
        <v>0</v>
      </c>
      <c r="V283" s="130">
        <v>500000</v>
      </c>
      <c r="W283" s="128">
        <v>1</v>
      </c>
      <c r="X283" s="128">
        <v>3</v>
      </c>
      <c r="Y283" s="131" t="str">
        <f ca="1">IF(ISBLANK(BudgetsTable[[#This Row],[budg_seq_yr]]),"FY"&amp;fiscalyear,"FY"&amp;fiscalyear-1+BudgetsTable[[#This Row],[budg_seq_yr]])</f>
        <v>FY20</v>
      </c>
      <c r="Z283" s="129">
        <v>500000</v>
      </c>
      <c r="AA283" s="128" t="s">
        <v>741</v>
      </c>
      <c r="AB283" s="128" t="s">
        <v>901</v>
      </c>
      <c r="AC283" s="126" t="s">
        <v>94</v>
      </c>
      <c r="AD283" s="128" t="s">
        <v>2007</v>
      </c>
    </row>
    <row r="284" spans="1:30">
      <c r="A284" s="125" t="s">
        <v>1403</v>
      </c>
      <c r="B284" s="126" t="s">
        <v>96</v>
      </c>
      <c r="C284" s="126">
        <f>C283+(BudgetsTable[[#This Row],[lead]]&lt;&gt;K283)</f>
        <v>59</v>
      </c>
      <c r="D284" s="126">
        <f>D283*(BudgetsTable[[#This Row],[lead]]=K283)+(BudgetsTable[[#This Row],[prop_id]]&lt;&gt;A283)</f>
        <v>1</v>
      </c>
      <c r="E284" s="127">
        <v>42809.71597222222</v>
      </c>
      <c r="F284" s="128" t="s">
        <v>1965</v>
      </c>
      <c r="G284" s="128" t="s">
        <v>741</v>
      </c>
      <c r="H284" s="128" t="s">
        <v>901</v>
      </c>
      <c r="I284" s="126" t="s">
        <v>942</v>
      </c>
      <c r="J284" s="126" t="s">
        <v>2296</v>
      </c>
      <c r="K284" s="128" t="s">
        <v>1403</v>
      </c>
      <c r="L284" s="7" t="str">
        <f>IF(BudgetsTable[[#This Row],[pi_last_name]]=" ","",HYPERLINK("https://www.ejacket.nsf.gov/ej/showProposal.do?Continue=Y&amp;ID="&amp;BudgetsTable[[#This Row],[prop_id]],BudgetsTable[[#This Row],[prop_id]]))</f>
        <v>1740837</v>
      </c>
      <c r="M284" s="15" t="str">
        <f>IF(BudgetsTable[[#This Row],[pi_last_name]]=" ","",HYPERLINK("https://www.ejacket.nsf.gov/ej/processReviewAnalysis.do?dispatch=add&amp;uniqId="&amp;BudgetsTable[[#This Row],[prop_id]]&amp;PO_id,"&gt;ra"))</f>
        <v>&gt;ra</v>
      </c>
      <c r="N284" s="128" t="s">
        <v>1404</v>
      </c>
      <c r="O284" s="7" t="str">
        <f>IF(BudgetsTable[[#This Row],[pi_last_name]]=" ","",HYPERLINK("mailto:"&amp;BudgetsTable[[#This Row],[pi_email]]&amp;"&amp;subject=Your NSF Proposal:  "&amp;BudgetsTable[[#This Row],[prop_id]],BudgetsTable[[#This Row],[pi_email]]))</f>
        <v>ybresler@illinois.edu</v>
      </c>
      <c r="P284" s="128" t="s">
        <v>339</v>
      </c>
      <c r="Q284" s="128"/>
      <c r="R284" s="128"/>
      <c r="S284" s="129"/>
      <c r="T284" s="129"/>
      <c r="U284" s="129"/>
      <c r="V284" s="130"/>
      <c r="W284" s="128">
        <v>0</v>
      </c>
      <c r="X284" s="128"/>
      <c r="Y284" s="131" t="str">
        <f ca="1">IF(ISBLANK(BudgetsTable[[#This Row],[budg_seq_yr]]),"FY"&amp;fiscalyear,"FY"&amp;fiscalyear-1+BudgetsTable[[#This Row],[budg_seq_yr]])</f>
        <v>FY18</v>
      </c>
      <c r="Z284" s="129">
        <v>1500000</v>
      </c>
      <c r="AA284" s="128" t="s">
        <v>741</v>
      </c>
      <c r="AB284" s="128" t="s">
        <v>901</v>
      </c>
      <c r="AC284" s="126" t="s">
        <v>94</v>
      </c>
      <c r="AD284" s="128" t="s">
        <v>1968</v>
      </c>
    </row>
    <row r="285" spans="1:30">
      <c r="A285" s="125" t="s">
        <v>1403</v>
      </c>
      <c r="B285" s="126" t="s">
        <v>96</v>
      </c>
      <c r="C285" s="126">
        <f>C284+(BudgetsTable[[#This Row],[lead]]&lt;&gt;K284)</f>
        <v>59</v>
      </c>
      <c r="D285" s="126">
        <f>D284*(BudgetsTable[[#This Row],[lead]]=K284)+(BudgetsTable[[#This Row],[prop_id]]&lt;&gt;A284)</f>
        <v>1</v>
      </c>
      <c r="E285" s="127">
        <v>42809.71597222222</v>
      </c>
      <c r="F285" s="128" t="s">
        <v>1965</v>
      </c>
      <c r="G285" s="128" t="s">
        <v>741</v>
      </c>
      <c r="H285" s="128" t="s">
        <v>901</v>
      </c>
      <c r="I285" s="126" t="s">
        <v>942</v>
      </c>
      <c r="J285" s="126" t="s">
        <v>13</v>
      </c>
      <c r="K285" s="128" t="s">
        <v>1403</v>
      </c>
      <c r="L285" s="7" t="str">
        <f>IF(BudgetsTable[[#This Row],[pi_last_name]]=" ","",HYPERLINK("https://www.ejacket.nsf.gov/ej/showProposal.do?Continue=Y&amp;ID="&amp;BudgetsTable[[#This Row],[prop_id]],BudgetsTable[[#This Row],[prop_id]]))</f>
        <v/>
      </c>
      <c r="M285" s="15" t="str">
        <f>IF(BudgetsTable[[#This Row],[pi_last_name]]=" ","",HYPERLINK("https://www.ejacket.nsf.gov/ej/processReviewAnalysis.do?dispatch=add&amp;uniqId="&amp;BudgetsTable[[#This Row],[prop_id]]&amp;PO_id,"&gt;ra"))</f>
        <v/>
      </c>
      <c r="N285" s="128" t="s">
        <v>13</v>
      </c>
      <c r="O285" s="7" t="str">
        <f>IF(BudgetsTable[[#This Row],[pi_last_name]]=" ","",HYPERLINK("mailto:"&amp;BudgetsTable[[#This Row],[pi_email]]&amp;"&amp;subject=Your NSF Proposal:  "&amp;BudgetsTable[[#This Row],[prop_id]],BudgetsTable[[#This Row],[pi_email]]))</f>
        <v/>
      </c>
      <c r="P285" s="128" t="s">
        <v>13</v>
      </c>
      <c r="Q285" s="128">
        <v>8</v>
      </c>
      <c r="R285" s="128">
        <v>6</v>
      </c>
      <c r="S285" s="129">
        <v>0</v>
      </c>
      <c r="T285" s="129">
        <v>0</v>
      </c>
      <c r="U285" s="129">
        <v>0</v>
      </c>
      <c r="V285" s="130">
        <v>500000</v>
      </c>
      <c r="W285" s="128">
        <v>0</v>
      </c>
      <c r="X285" s="128">
        <v>1</v>
      </c>
      <c r="Y285" s="131" t="str">
        <f ca="1">IF(ISBLANK(BudgetsTable[[#This Row],[budg_seq_yr]]),"FY"&amp;fiscalyear,"FY"&amp;fiscalyear-1+BudgetsTable[[#This Row],[budg_seq_yr]])</f>
        <v>FY18</v>
      </c>
      <c r="Z285" s="129">
        <v>500000</v>
      </c>
      <c r="AA285" s="128" t="s">
        <v>741</v>
      </c>
      <c r="AB285" s="128" t="s">
        <v>901</v>
      </c>
      <c r="AC285" s="126" t="s">
        <v>94</v>
      </c>
      <c r="AD285" s="128" t="s">
        <v>1968</v>
      </c>
    </row>
    <row r="286" spans="1:30">
      <c r="A286" s="125" t="s">
        <v>1403</v>
      </c>
      <c r="B286" s="126" t="s">
        <v>96</v>
      </c>
      <c r="C286" s="126">
        <f>C285+(BudgetsTable[[#This Row],[lead]]&lt;&gt;K285)</f>
        <v>59</v>
      </c>
      <c r="D286" s="126">
        <f>D285*(BudgetsTable[[#This Row],[lead]]=K285)+(BudgetsTable[[#This Row],[prop_id]]&lt;&gt;A285)</f>
        <v>1</v>
      </c>
      <c r="E286" s="127">
        <v>42809.71597222222</v>
      </c>
      <c r="F286" s="128" t="s">
        <v>1965</v>
      </c>
      <c r="G286" s="128" t="s">
        <v>741</v>
      </c>
      <c r="H286" s="128" t="s">
        <v>901</v>
      </c>
      <c r="I286" s="126" t="s">
        <v>942</v>
      </c>
      <c r="J286" s="126" t="s">
        <v>13</v>
      </c>
      <c r="K286" s="128" t="s">
        <v>1403</v>
      </c>
      <c r="L286" s="7" t="str">
        <f>IF(BudgetsTable[[#This Row],[pi_last_name]]=" ","",HYPERLINK("https://www.ejacket.nsf.gov/ej/showProposal.do?Continue=Y&amp;ID="&amp;BudgetsTable[[#This Row],[prop_id]],BudgetsTable[[#This Row],[prop_id]]))</f>
        <v/>
      </c>
      <c r="M286" s="15" t="str">
        <f>IF(BudgetsTable[[#This Row],[pi_last_name]]=" ","",HYPERLINK("https://www.ejacket.nsf.gov/ej/processReviewAnalysis.do?dispatch=add&amp;uniqId="&amp;BudgetsTable[[#This Row],[prop_id]]&amp;PO_id,"&gt;ra"))</f>
        <v/>
      </c>
      <c r="N286" s="128" t="s">
        <v>13</v>
      </c>
      <c r="O286" s="7" t="str">
        <f>IF(BudgetsTable[[#This Row],[pi_last_name]]=" ","",HYPERLINK("mailto:"&amp;BudgetsTable[[#This Row],[pi_email]]&amp;"&amp;subject=Your NSF Proposal:  "&amp;BudgetsTable[[#This Row],[prop_id]],BudgetsTable[[#This Row],[pi_email]]))</f>
        <v/>
      </c>
      <c r="P286" s="128" t="s">
        <v>13</v>
      </c>
      <c r="Q286" s="128">
        <v>8</v>
      </c>
      <c r="R286" s="128">
        <v>5.6</v>
      </c>
      <c r="S286" s="129">
        <v>0</v>
      </c>
      <c r="T286" s="129">
        <v>0</v>
      </c>
      <c r="U286" s="129">
        <v>0</v>
      </c>
      <c r="V286" s="130">
        <v>500000</v>
      </c>
      <c r="W286" s="128">
        <v>0</v>
      </c>
      <c r="X286" s="128">
        <v>2</v>
      </c>
      <c r="Y286" s="131" t="str">
        <f ca="1">IF(ISBLANK(BudgetsTable[[#This Row],[budg_seq_yr]]),"FY"&amp;fiscalyear,"FY"&amp;fiscalyear-1+BudgetsTable[[#This Row],[budg_seq_yr]])</f>
        <v>FY19</v>
      </c>
      <c r="Z286" s="129">
        <v>500000</v>
      </c>
      <c r="AA286" s="128" t="s">
        <v>741</v>
      </c>
      <c r="AB286" s="128" t="s">
        <v>901</v>
      </c>
      <c r="AC286" s="126" t="s">
        <v>94</v>
      </c>
      <c r="AD286" s="128" t="s">
        <v>1968</v>
      </c>
    </row>
    <row r="287" spans="1:30">
      <c r="A287" s="125" t="s">
        <v>1403</v>
      </c>
      <c r="B287" s="126" t="s">
        <v>96</v>
      </c>
      <c r="C287" s="126">
        <f>C286+(BudgetsTable[[#This Row],[lead]]&lt;&gt;K286)</f>
        <v>59</v>
      </c>
      <c r="D287" s="126">
        <f>D286*(BudgetsTable[[#This Row],[lead]]=K286)+(BudgetsTable[[#This Row],[prop_id]]&lt;&gt;A286)</f>
        <v>1</v>
      </c>
      <c r="E287" s="127">
        <v>42809.71597222222</v>
      </c>
      <c r="F287" s="128" t="s">
        <v>1965</v>
      </c>
      <c r="G287" s="128" t="s">
        <v>741</v>
      </c>
      <c r="H287" s="128" t="s">
        <v>901</v>
      </c>
      <c r="I287" s="126" t="s">
        <v>942</v>
      </c>
      <c r="J287" s="126" t="s">
        <v>13</v>
      </c>
      <c r="K287" s="128" t="s">
        <v>1403</v>
      </c>
      <c r="L287" s="7" t="str">
        <f>IF(BudgetsTable[[#This Row],[pi_last_name]]=" ","",HYPERLINK("https://www.ejacket.nsf.gov/ej/showProposal.do?Continue=Y&amp;ID="&amp;BudgetsTable[[#This Row],[prop_id]],BudgetsTable[[#This Row],[prop_id]]))</f>
        <v/>
      </c>
      <c r="M287" s="15" t="str">
        <f>IF(BudgetsTable[[#This Row],[pi_last_name]]=" ","",HYPERLINK("https://www.ejacket.nsf.gov/ej/processReviewAnalysis.do?dispatch=add&amp;uniqId="&amp;BudgetsTable[[#This Row],[prop_id]]&amp;PO_id,"&gt;ra"))</f>
        <v/>
      </c>
      <c r="N287" s="128" t="s">
        <v>13</v>
      </c>
      <c r="O287" s="7" t="str">
        <f>IF(BudgetsTable[[#This Row],[pi_last_name]]=" ","",HYPERLINK("mailto:"&amp;BudgetsTable[[#This Row],[pi_email]]&amp;"&amp;subject=Your NSF Proposal:  "&amp;BudgetsTable[[#This Row],[prop_id]],BudgetsTable[[#This Row],[pi_email]]))</f>
        <v/>
      </c>
      <c r="P287" s="128" t="s">
        <v>13</v>
      </c>
      <c r="Q287" s="128">
        <v>8</v>
      </c>
      <c r="R287" s="128">
        <v>5.2</v>
      </c>
      <c r="S287" s="129">
        <v>0</v>
      </c>
      <c r="T287" s="129">
        <v>0</v>
      </c>
      <c r="U287" s="129">
        <v>0</v>
      </c>
      <c r="V287" s="130">
        <v>500000</v>
      </c>
      <c r="W287" s="128">
        <v>0</v>
      </c>
      <c r="X287" s="128">
        <v>3</v>
      </c>
      <c r="Y287" s="131" t="str">
        <f ca="1">IF(ISBLANK(BudgetsTable[[#This Row],[budg_seq_yr]]),"FY"&amp;fiscalyear,"FY"&amp;fiscalyear-1+BudgetsTable[[#This Row],[budg_seq_yr]])</f>
        <v>FY20</v>
      </c>
      <c r="Z287" s="129">
        <v>500000</v>
      </c>
      <c r="AA287" s="128" t="s">
        <v>741</v>
      </c>
      <c r="AB287" s="128" t="s">
        <v>901</v>
      </c>
      <c r="AC287" s="126" t="s">
        <v>94</v>
      </c>
      <c r="AD287" s="128" t="s">
        <v>1968</v>
      </c>
    </row>
    <row r="288" spans="1:30">
      <c r="A288" s="125" t="s">
        <v>1410</v>
      </c>
      <c r="B288" s="126" t="s">
        <v>96</v>
      </c>
      <c r="C288" s="126">
        <f>C287+(BudgetsTable[[#This Row],[lead]]&lt;&gt;K287)</f>
        <v>60</v>
      </c>
      <c r="D288" s="126">
        <f>D287*(BudgetsTable[[#This Row],[lead]]=K287)+(BudgetsTable[[#This Row],[prop_id]]&lt;&gt;A287)</f>
        <v>1</v>
      </c>
      <c r="E288" s="127">
        <v>42809.719444444447</v>
      </c>
      <c r="F288" s="128" t="s">
        <v>1965</v>
      </c>
      <c r="G288" s="128" t="s">
        <v>741</v>
      </c>
      <c r="H288" s="128" t="s">
        <v>901</v>
      </c>
      <c r="I288" s="126" t="s">
        <v>942</v>
      </c>
      <c r="J288" s="126" t="s">
        <v>2300</v>
      </c>
      <c r="K288" s="128" t="s">
        <v>1410</v>
      </c>
      <c r="L288" s="7" t="str">
        <f>IF(BudgetsTable[[#This Row],[pi_last_name]]=" ","",HYPERLINK("https://www.ejacket.nsf.gov/ej/showProposal.do?Continue=Y&amp;ID="&amp;BudgetsTable[[#This Row],[prop_id]],BudgetsTable[[#This Row],[prop_id]]))</f>
        <v>1740838</v>
      </c>
      <c r="M288" s="15" t="str">
        <f>IF(BudgetsTable[[#This Row],[pi_last_name]]=" ","",HYPERLINK("https://www.ejacket.nsf.gov/ej/processReviewAnalysis.do?dispatch=add&amp;uniqId="&amp;BudgetsTable[[#This Row],[prop_id]]&amp;PO_id,"&gt;ra"))</f>
        <v>&gt;ra</v>
      </c>
      <c r="N288" s="128" t="s">
        <v>1411</v>
      </c>
      <c r="O288" s="7" t="str">
        <f>IF(BudgetsTable[[#This Row],[pi_last_name]]=" ","",HYPERLINK("mailto:"&amp;BudgetsTable[[#This Row],[pi_email]]&amp;"&amp;subject=Your NSF Proposal:  "&amp;BudgetsTable[[#This Row],[prop_id]],BudgetsTable[[#This Row],[pi_email]]))</f>
        <v>jay.bayne@marquette.edu</v>
      </c>
      <c r="P288" s="128" t="s">
        <v>2298</v>
      </c>
      <c r="Q288" s="128"/>
      <c r="R288" s="128"/>
      <c r="S288" s="129"/>
      <c r="T288" s="129"/>
      <c r="U288" s="129"/>
      <c r="V288" s="130"/>
      <c r="W288" s="128">
        <v>0</v>
      </c>
      <c r="X288" s="128"/>
      <c r="Y288" s="131" t="str">
        <f ca="1">IF(ISBLANK(BudgetsTable[[#This Row],[budg_seq_yr]]),"FY"&amp;fiscalyear,"FY"&amp;fiscalyear-1+BudgetsTable[[#This Row],[budg_seq_yr]])</f>
        <v>FY18</v>
      </c>
      <c r="Z288" s="129">
        <v>1486183</v>
      </c>
      <c r="AA288" s="128" t="s">
        <v>741</v>
      </c>
      <c r="AB288" s="128" t="s">
        <v>901</v>
      </c>
      <c r="AC288" s="126" t="s">
        <v>94</v>
      </c>
      <c r="AD288" s="128" t="s">
        <v>1968</v>
      </c>
    </row>
    <row r="289" spans="1:30">
      <c r="A289" s="125" t="s">
        <v>1410</v>
      </c>
      <c r="B289" s="126" t="s">
        <v>96</v>
      </c>
      <c r="C289" s="126">
        <f>C288+(BudgetsTable[[#This Row],[lead]]&lt;&gt;K288)</f>
        <v>60</v>
      </c>
      <c r="D289" s="126">
        <f>D288*(BudgetsTable[[#This Row],[lead]]=K288)+(BudgetsTable[[#This Row],[prop_id]]&lt;&gt;A288)</f>
        <v>1</v>
      </c>
      <c r="E289" s="127">
        <v>42809.719444444447</v>
      </c>
      <c r="F289" s="128" t="s">
        <v>1965</v>
      </c>
      <c r="G289" s="128" t="s">
        <v>741</v>
      </c>
      <c r="H289" s="128" t="s">
        <v>901</v>
      </c>
      <c r="I289" s="126" t="s">
        <v>942</v>
      </c>
      <c r="J289" s="126" t="s">
        <v>13</v>
      </c>
      <c r="K289" s="128" t="s">
        <v>1410</v>
      </c>
      <c r="L289" s="7" t="str">
        <f>IF(BudgetsTable[[#This Row],[pi_last_name]]=" ","",HYPERLINK("https://www.ejacket.nsf.gov/ej/showProposal.do?Continue=Y&amp;ID="&amp;BudgetsTable[[#This Row],[prop_id]],BudgetsTable[[#This Row],[prop_id]]))</f>
        <v/>
      </c>
      <c r="M289" s="15" t="str">
        <f>IF(BudgetsTable[[#This Row],[pi_last_name]]=" ","",HYPERLINK("https://www.ejacket.nsf.gov/ej/processReviewAnalysis.do?dispatch=add&amp;uniqId="&amp;BudgetsTable[[#This Row],[prop_id]]&amp;PO_id,"&gt;ra"))</f>
        <v/>
      </c>
      <c r="N289" s="128" t="s">
        <v>13</v>
      </c>
      <c r="O289" s="7" t="str">
        <f>IF(BudgetsTable[[#This Row],[pi_last_name]]=" ","",HYPERLINK("mailto:"&amp;BudgetsTable[[#This Row],[pi_email]]&amp;"&amp;subject=Your NSF Proposal:  "&amp;BudgetsTable[[#This Row],[prop_id]],BudgetsTable[[#This Row],[pi_email]]))</f>
        <v/>
      </c>
      <c r="P289" s="128" t="s">
        <v>13</v>
      </c>
      <c r="Q289" s="128">
        <v>4</v>
      </c>
      <c r="R289" s="128">
        <v>6</v>
      </c>
      <c r="S289" s="129">
        <v>0</v>
      </c>
      <c r="T289" s="129">
        <v>0</v>
      </c>
      <c r="U289" s="129">
        <v>0</v>
      </c>
      <c r="V289" s="130">
        <v>495506</v>
      </c>
      <c r="W289" s="128">
        <v>0</v>
      </c>
      <c r="X289" s="128">
        <v>1</v>
      </c>
      <c r="Y289" s="131" t="str">
        <f ca="1">IF(ISBLANK(BudgetsTable[[#This Row],[budg_seq_yr]]),"FY"&amp;fiscalyear,"FY"&amp;fiscalyear-1+BudgetsTable[[#This Row],[budg_seq_yr]])</f>
        <v>FY18</v>
      </c>
      <c r="Z289" s="129">
        <v>495506</v>
      </c>
      <c r="AA289" s="128" t="s">
        <v>741</v>
      </c>
      <c r="AB289" s="128" t="s">
        <v>901</v>
      </c>
      <c r="AC289" s="126" t="s">
        <v>94</v>
      </c>
      <c r="AD289" s="128" t="s">
        <v>1968</v>
      </c>
    </row>
    <row r="290" spans="1:30">
      <c r="A290" s="125" t="s">
        <v>1410</v>
      </c>
      <c r="B290" s="126" t="s">
        <v>96</v>
      </c>
      <c r="C290" s="126">
        <f>C289+(BudgetsTable[[#This Row],[lead]]&lt;&gt;K289)</f>
        <v>60</v>
      </c>
      <c r="D290" s="126">
        <f>D289*(BudgetsTable[[#This Row],[lead]]=K289)+(BudgetsTable[[#This Row],[prop_id]]&lt;&gt;A289)</f>
        <v>1</v>
      </c>
      <c r="E290" s="127">
        <v>42809.719444444447</v>
      </c>
      <c r="F290" s="128" t="s">
        <v>1965</v>
      </c>
      <c r="G290" s="128" t="s">
        <v>741</v>
      </c>
      <c r="H290" s="128" t="s">
        <v>901</v>
      </c>
      <c r="I290" s="126" t="s">
        <v>942</v>
      </c>
      <c r="J290" s="126" t="s">
        <v>13</v>
      </c>
      <c r="K290" s="128" t="s">
        <v>1410</v>
      </c>
      <c r="L290" s="7" t="str">
        <f>IF(BudgetsTable[[#This Row],[pi_last_name]]=" ","",HYPERLINK("https://www.ejacket.nsf.gov/ej/showProposal.do?Continue=Y&amp;ID="&amp;BudgetsTable[[#This Row],[prop_id]],BudgetsTable[[#This Row],[prop_id]]))</f>
        <v/>
      </c>
      <c r="M290" s="15" t="str">
        <f>IF(BudgetsTable[[#This Row],[pi_last_name]]=" ","",HYPERLINK("https://www.ejacket.nsf.gov/ej/processReviewAnalysis.do?dispatch=add&amp;uniqId="&amp;BudgetsTable[[#This Row],[prop_id]]&amp;PO_id,"&gt;ra"))</f>
        <v/>
      </c>
      <c r="N290" s="128" t="s">
        <v>13</v>
      </c>
      <c r="O290" s="7" t="str">
        <f>IF(BudgetsTable[[#This Row],[pi_last_name]]=" ","",HYPERLINK("mailto:"&amp;BudgetsTable[[#This Row],[pi_email]]&amp;"&amp;subject=Your NSF Proposal:  "&amp;BudgetsTable[[#This Row],[prop_id]],BudgetsTable[[#This Row],[pi_email]]))</f>
        <v/>
      </c>
      <c r="P290" s="128" t="s">
        <v>13</v>
      </c>
      <c r="Q290" s="128">
        <v>3</v>
      </c>
      <c r="R290" s="128">
        <v>4</v>
      </c>
      <c r="S290" s="129">
        <v>0</v>
      </c>
      <c r="T290" s="129">
        <v>0</v>
      </c>
      <c r="U290" s="129">
        <v>0</v>
      </c>
      <c r="V290" s="130">
        <v>494585</v>
      </c>
      <c r="W290" s="128">
        <v>0</v>
      </c>
      <c r="X290" s="128">
        <v>2</v>
      </c>
      <c r="Y290" s="131" t="str">
        <f ca="1">IF(ISBLANK(BudgetsTable[[#This Row],[budg_seq_yr]]),"FY"&amp;fiscalyear,"FY"&amp;fiscalyear-1+BudgetsTable[[#This Row],[budg_seq_yr]])</f>
        <v>FY19</v>
      </c>
      <c r="Z290" s="129">
        <v>494585</v>
      </c>
      <c r="AA290" s="128" t="s">
        <v>741</v>
      </c>
      <c r="AB290" s="128" t="s">
        <v>901</v>
      </c>
      <c r="AC290" s="126" t="s">
        <v>94</v>
      </c>
      <c r="AD290" s="128" t="s">
        <v>1968</v>
      </c>
    </row>
    <row r="291" spans="1:30">
      <c r="A291" s="125" t="s">
        <v>1410</v>
      </c>
      <c r="B291" s="126" t="s">
        <v>96</v>
      </c>
      <c r="C291" s="126">
        <f>C290+(BudgetsTable[[#This Row],[lead]]&lt;&gt;K290)</f>
        <v>60</v>
      </c>
      <c r="D291" s="126">
        <f>D290*(BudgetsTable[[#This Row],[lead]]=K290)+(BudgetsTable[[#This Row],[prop_id]]&lt;&gt;A290)</f>
        <v>1</v>
      </c>
      <c r="E291" s="127">
        <v>42809.719444444447</v>
      </c>
      <c r="F291" s="128" t="s">
        <v>1965</v>
      </c>
      <c r="G291" s="128" t="s">
        <v>741</v>
      </c>
      <c r="H291" s="128" t="s">
        <v>901</v>
      </c>
      <c r="I291" s="126" t="s">
        <v>942</v>
      </c>
      <c r="J291" s="126" t="s">
        <v>13</v>
      </c>
      <c r="K291" s="128" t="s">
        <v>1410</v>
      </c>
      <c r="L291" s="7" t="str">
        <f>IF(BudgetsTable[[#This Row],[pi_last_name]]=" ","",HYPERLINK("https://www.ejacket.nsf.gov/ej/showProposal.do?Continue=Y&amp;ID="&amp;BudgetsTable[[#This Row],[prop_id]],BudgetsTable[[#This Row],[prop_id]]))</f>
        <v/>
      </c>
      <c r="M291" s="15" t="str">
        <f>IF(BudgetsTable[[#This Row],[pi_last_name]]=" ","",HYPERLINK("https://www.ejacket.nsf.gov/ej/processReviewAnalysis.do?dispatch=add&amp;uniqId="&amp;BudgetsTable[[#This Row],[prop_id]]&amp;PO_id,"&gt;ra"))</f>
        <v/>
      </c>
      <c r="N291" s="128" t="s">
        <v>13</v>
      </c>
      <c r="O291" s="7" t="str">
        <f>IF(BudgetsTable[[#This Row],[pi_last_name]]=" ","",HYPERLINK("mailto:"&amp;BudgetsTable[[#This Row],[pi_email]]&amp;"&amp;subject=Your NSF Proposal:  "&amp;BudgetsTable[[#This Row],[prop_id]],BudgetsTable[[#This Row],[pi_email]]))</f>
        <v/>
      </c>
      <c r="P291" s="128" t="s">
        <v>13</v>
      </c>
      <c r="Q291" s="128">
        <v>4</v>
      </c>
      <c r="R291" s="128">
        <v>6</v>
      </c>
      <c r="S291" s="129">
        <v>0</v>
      </c>
      <c r="T291" s="129">
        <v>0</v>
      </c>
      <c r="U291" s="129">
        <v>0</v>
      </c>
      <c r="V291" s="130">
        <v>496092</v>
      </c>
      <c r="W291" s="128">
        <v>0</v>
      </c>
      <c r="X291" s="128">
        <v>3</v>
      </c>
      <c r="Y291" s="131" t="str">
        <f ca="1">IF(ISBLANK(BudgetsTable[[#This Row],[budg_seq_yr]]),"FY"&amp;fiscalyear,"FY"&amp;fiscalyear-1+BudgetsTable[[#This Row],[budg_seq_yr]])</f>
        <v>FY20</v>
      </c>
      <c r="Z291" s="129">
        <v>496092</v>
      </c>
      <c r="AA291" s="128" t="s">
        <v>741</v>
      </c>
      <c r="AB291" s="128" t="s">
        <v>901</v>
      </c>
      <c r="AC291" s="126" t="s">
        <v>94</v>
      </c>
      <c r="AD291" s="128" t="s">
        <v>1968</v>
      </c>
    </row>
    <row r="292" spans="1:30">
      <c r="A292" s="125" t="s">
        <v>1416</v>
      </c>
      <c r="B292" s="126" t="s">
        <v>96</v>
      </c>
      <c r="C292" s="126">
        <f>C291+(BudgetsTable[[#This Row],[lead]]&lt;&gt;K291)</f>
        <v>61</v>
      </c>
      <c r="D292" s="126">
        <f>D291*(BudgetsTable[[#This Row],[lead]]=K291)+(BudgetsTable[[#This Row],[prop_id]]&lt;&gt;A291)</f>
        <v>1</v>
      </c>
      <c r="E292" s="127">
        <v>42809.723611111112</v>
      </c>
      <c r="F292" s="128" t="s">
        <v>1965</v>
      </c>
      <c r="G292" s="128" t="s">
        <v>741</v>
      </c>
      <c r="H292" s="128" t="s">
        <v>901</v>
      </c>
      <c r="I292" s="126" t="s">
        <v>942</v>
      </c>
      <c r="J292" s="126" t="s">
        <v>2304</v>
      </c>
      <c r="K292" s="128" t="s">
        <v>1416</v>
      </c>
      <c r="L292" s="7" t="str">
        <f>IF(BudgetsTable[[#This Row],[pi_last_name]]=" ","",HYPERLINK("https://www.ejacket.nsf.gov/ej/showProposal.do?Continue=Y&amp;ID="&amp;BudgetsTable[[#This Row],[prop_id]],BudgetsTable[[#This Row],[prop_id]]))</f>
        <v>1740840</v>
      </c>
      <c r="M292" s="15" t="str">
        <f>IF(BudgetsTable[[#This Row],[pi_last_name]]=" ","",HYPERLINK("https://www.ejacket.nsf.gov/ej/processReviewAnalysis.do?dispatch=add&amp;uniqId="&amp;BudgetsTable[[#This Row],[prop_id]]&amp;PO_id,"&gt;ra"))</f>
        <v>&gt;ra</v>
      </c>
      <c r="N292" s="128" t="s">
        <v>1417</v>
      </c>
      <c r="O292" s="7" t="str">
        <f>IF(BudgetsTable[[#This Row],[pi_last_name]]=" ","",HYPERLINK("mailto:"&amp;BudgetsTable[[#This Row],[pi_email]]&amp;"&amp;subject=Your NSF Proposal:  "&amp;BudgetsTable[[#This Row],[prop_id]],BudgetsTable[[#This Row],[pi_email]]))</f>
        <v>pietro@math.ksu.edu</v>
      </c>
      <c r="P292" s="128" t="s">
        <v>2302</v>
      </c>
      <c r="Q292" s="128"/>
      <c r="R292" s="128"/>
      <c r="S292" s="129"/>
      <c r="T292" s="129"/>
      <c r="U292" s="129"/>
      <c r="V292" s="130"/>
      <c r="W292" s="128">
        <v>0</v>
      </c>
      <c r="X292" s="128"/>
      <c r="Y292" s="131" t="str">
        <f ca="1">IF(ISBLANK(BudgetsTable[[#This Row],[budg_seq_yr]]),"FY"&amp;fiscalyear,"FY"&amp;fiscalyear-1+BudgetsTable[[#This Row],[budg_seq_yr]])</f>
        <v>FY18</v>
      </c>
      <c r="Z292" s="129">
        <v>1499366</v>
      </c>
      <c r="AA292" s="128" t="s">
        <v>741</v>
      </c>
      <c r="AB292" s="128" t="s">
        <v>901</v>
      </c>
      <c r="AC292" s="126" t="s">
        <v>94</v>
      </c>
      <c r="AD292" s="128" t="s">
        <v>1995</v>
      </c>
    </row>
    <row r="293" spans="1:30">
      <c r="A293" s="125" t="s">
        <v>1416</v>
      </c>
      <c r="B293" s="126" t="s">
        <v>96</v>
      </c>
      <c r="C293" s="126">
        <f>C292+(BudgetsTable[[#This Row],[lead]]&lt;&gt;K292)</f>
        <v>61</v>
      </c>
      <c r="D293" s="126">
        <f>D292*(BudgetsTable[[#This Row],[lead]]=K292)+(BudgetsTable[[#This Row],[prop_id]]&lt;&gt;A292)</f>
        <v>1</v>
      </c>
      <c r="E293" s="127">
        <v>42809.723611111112</v>
      </c>
      <c r="F293" s="128" t="s">
        <v>1965</v>
      </c>
      <c r="G293" s="128" t="s">
        <v>741</v>
      </c>
      <c r="H293" s="128" t="s">
        <v>901</v>
      </c>
      <c r="I293" s="126" t="s">
        <v>942</v>
      </c>
      <c r="J293" s="126" t="s">
        <v>13</v>
      </c>
      <c r="K293" s="128" t="s">
        <v>1416</v>
      </c>
      <c r="L293" s="7" t="str">
        <f>IF(BudgetsTable[[#This Row],[pi_last_name]]=" ","",HYPERLINK("https://www.ejacket.nsf.gov/ej/showProposal.do?Continue=Y&amp;ID="&amp;BudgetsTable[[#This Row],[prop_id]],BudgetsTable[[#This Row],[prop_id]]))</f>
        <v/>
      </c>
      <c r="M293" s="15" t="str">
        <f>IF(BudgetsTable[[#This Row],[pi_last_name]]=" ","",HYPERLINK("https://www.ejacket.nsf.gov/ej/processReviewAnalysis.do?dispatch=add&amp;uniqId="&amp;BudgetsTable[[#This Row],[prop_id]]&amp;PO_id,"&gt;ra"))</f>
        <v/>
      </c>
      <c r="N293" s="128" t="s">
        <v>13</v>
      </c>
      <c r="O293" s="7" t="str">
        <f>IF(BudgetsTable[[#This Row],[pi_last_name]]=" ","",HYPERLINK("mailto:"&amp;BudgetsTable[[#This Row],[pi_email]]&amp;"&amp;subject=Your NSF Proposal:  "&amp;BudgetsTable[[#This Row],[prop_id]],BudgetsTable[[#This Row],[pi_email]]))</f>
        <v/>
      </c>
      <c r="P293" s="128" t="s">
        <v>13</v>
      </c>
      <c r="Q293" s="128">
        <v>5</v>
      </c>
      <c r="R293" s="128">
        <v>6</v>
      </c>
      <c r="S293" s="129">
        <v>50000</v>
      </c>
      <c r="T293" s="129">
        <v>0</v>
      </c>
      <c r="U293" s="129">
        <v>38400</v>
      </c>
      <c r="V293" s="130">
        <v>499939</v>
      </c>
      <c r="W293" s="128">
        <v>0</v>
      </c>
      <c r="X293" s="128">
        <v>1</v>
      </c>
      <c r="Y293" s="131" t="str">
        <f ca="1">IF(ISBLANK(BudgetsTable[[#This Row],[budg_seq_yr]]),"FY"&amp;fiscalyear,"FY"&amp;fiscalyear-1+BudgetsTable[[#This Row],[budg_seq_yr]])</f>
        <v>FY18</v>
      </c>
      <c r="Z293" s="129">
        <v>499939</v>
      </c>
      <c r="AA293" s="128" t="s">
        <v>741</v>
      </c>
      <c r="AB293" s="128" t="s">
        <v>901</v>
      </c>
      <c r="AC293" s="126" t="s">
        <v>94</v>
      </c>
      <c r="AD293" s="128" t="s">
        <v>1995</v>
      </c>
    </row>
    <row r="294" spans="1:30">
      <c r="A294" s="125" t="s">
        <v>1416</v>
      </c>
      <c r="B294" s="126" t="s">
        <v>96</v>
      </c>
      <c r="C294" s="126">
        <f>C293+(BudgetsTable[[#This Row],[lead]]&lt;&gt;K293)</f>
        <v>61</v>
      </c>
      <c r="D294" s="126">
        <f>D293*(BudgetsTable[[#This Row],[lead]]=K293)+(BudgetsTable[[#This Row],[prop_id]]&lt;&gt;A293)</f>
        <v>1</v>
      </c>
      <c r="E294" s="127">
        <v>42809.723611111112</v>
      </c>
      <c r="F294" s="128" t="s">
        <v>1965</v>
      </c>
      <c r="G294" s="128" t="s">
        <v>741</v>
      </c>
      <c r="H294" s="128" t="s">
        <v>901</v>
      </c>
      <c r="I294" s="126" t="s">
        <v>942</v>
      </c>
      <c r="J294" s="126" t="s">
        <v>13</v>
      </c>
      <c r="K294" s="128" t="s">
        <v>1416</v>
      </c>
      <c r="L294" s="7" t="str">
        <f>IF(BudgetsTable[[#This Row],[pi_last_name]]=" ","",HYPERLINK("https://www.ejacket.nsf.gov/ej/showProposal.do?Continue=Y&amp;ID="&amp;BudgetsTable[[#This Row],[prop_id]],BudgetsTable[[#This Row],[prop_id]]))</f>
        <v/>
      </c>
      <c r="M294" s="15" t="str">
        <f>IF(BudgetsTable[[#This Row],[pi_last_name]]=" ","",HYPERLINK("https://www.ejacket.nsf.gov/ej/processReviewAnalysis.do?dispatch=add&amp;uniqId="&amp;BudgetsTable[[#This Row],[prop_id]]&amp;PO_id,"&gt;ra"))</f>
        <v/>
      </c>
      <c r="N294" s="128" t="s">
        <v>13</v>
      </c>
      <c r="O294" s="7" t="str">
        <f>IF(BudgetsTable[[#This Row],[pi_last_name]]=" ","",HYPERLINK("mailto:"&amp;BudgetsTable[[#This Row],[pi_email]]&amp;"&amp;subject=Your NSF Proposal:  "&amp;BudgetsTable[[#This Row],[prop_id]],BudgetsTable[[#This Row],[pi_email]]))</f>
        <v/>
      </c>
      <c r="P294" s="128" t="s">
        <v>13</v>
      </c>
      <c r="Q294" s="128">
        <v>5</v>
      </c>
      <c r="R294" s="128">
        <v>6</v>
      </c>
      <c r="S294" s="129">
        <v>51500</v>
      </c>
      <c r="T294" s="129">
        <v>0</v>
      </c>
      <c r="U294" s="129">
        <v>27800</v>
      </c>
      <c r="V294" s="130">
        <v>499491</v>
      </c>
      <c r="W294" s="128">
        <v>0</v>
      </c>
      <c r="X294" s="128">
        <v>2</v>
      </c>
      <c r="Y294" s="131" t="str">
        <f ca="1">IF(ISBLANK(BudgetsTable[[#This Row],[budg_seq_yr]]),"FY"&amp;fiscalyear,"FY"&amp;fiscalyear-1+BudgetsTable[[#This Row],[budg_seq_yr]])</f>
        <v>FY19</v>
      </c>
      <c r="Z294" s="129">
        <v>499491</v>
      </c>
      <c r="AA294" s="128" t="s">
        <v>741</v>
      </c>
      <c r="AB294" s="128" t="s">
        <v>901</v>
      </c>
      <c r="AC294" s="126" t="s">
        <v>94</v>
      </c>
      <c r="AD294" s="128" t="s">
        <v>1995</v>
      </c>
    </row>
    <row r="295" spans="1:30">
      <c r="A295" s="125" t="s">
        <v>1416</v>
      </c>
      <c r="B295" s="126" t="s">
        <v>96</v>
      </c>
      <c r="C295" s="126">
        <f>C294+(BudgetsTable[[#This Row],[lead]]&lt;&gt;K294)</f>
        <v>61</v>
      </c>
      <c r="D295" s="126">
        <f>D294*(BudgetsTable[[#This Row],[lead]]=K294)+(BudgetsTable[[#This Row],[prop_id]]&lt;&gt;A294)</f>
        <v>1</v>
      </c>
      <c r="E295" s="127">
        <v>42809.723611111112</v>
      </c>
      <c r="F295" s="128" t="s">
        <v>1965</v>
      </c>
      <c r="G295" s="128" t="s">
        <v>741</v>
      </c>
      <c r="H295" s="128" t="s">
        <v>901</v>
      </c>
      <c r="I295" s="126" t="s">
        <v>942</v>
      </c>
      <c r="J295" s="126" t="s">
        <v>13</v>
      </c>
      <c r="K295" s="128" t="s">
        <v>1416</v>
      </c>
      <c r="L295" s="7" t="str">
        <f>IF(BudgetsTable[[#This Row],[pi_last_name]]=" ","",HYPERLINK("https://www.ejacket.nsf.gov/ej/showProposal.do?Continue=Y&amp;ID="&amp;BudgetsTable[[#This Row],[prop_id]],BudgetsTable[[#This Row],[prop_id]]))</f>
        <v/>
      </c>
      <c r="M295" s="15" t="str">
        <f>IF(BudgetsTable[[#This Row],[pi_last_name]]=" ","",HYPERLINK("https://www.ejacket.nsf.gov/ej/processReviewAnalysis.do?dispatch=add&amp;uniqId="&amp;BudgetsTable[[#This Row],[prop_id]]&amp;PO_id,"&gt;ra"))</f>
        <v/>
      </c>
      <c r="N295" s="128" t="s">
        <v>13</v>
      </c>
      <c r="O295" s="7" t="str">
        <f>IF(BudgetsTable[[#This Row],[pi_last_name]]=" ","",HYPERLINK("mailto:"&amp;BudgetsTable[[#This Row],[pi_email]]&amp;"&amp;subject=Your NSF Proposal:  "&amp;BudgetsTable[[#This Row],[prop_id]],BudgetsTable[[#This Row],[pi_email]]))</f>
        <v/>
      </c>
      <c r="P295" s="128" t="s">
        <v>13</v>
      </c>
      <c r="Q295" s="128">
        <v>5</v>
      </c>
      <c r="R295" s="128">
        <v>6</v>
      </c>
      <c r="S295" s="129">
        <v>53045</v>
      </c>
      <c r="T295" s="129">
        <v>0</v>
      </c>
      <c r="U295" s="129">
        <v>12000</v>
      </c>
      <c r="V295" s="130">
        <v>499936</v>
      </c>
      <c r="W295" s="128">
        <v>0</v>
      </c>
      <c r="X295" s="128">
        <v>3</v>
      </c>
      <c r="Y295" s="131" t="str">
        <f ca="1">IF(ISBLANK(BudgetsTable[[#This Row],[budg_seq_yr]]),"FY"&amp;fiscalyear,"FY"&amp;fiscalyear-1+BudgetsTable[[#This Row],[budg_seq_yr]])</f>
        <v>FY20</v>
      </c>
      <c r="Z295" s="129">
        <v>499936</v>
      </c>
      <c r="AA295" s="128" t="s">
        <v>741</v>
      </c>
      <c r="AB295" s="128" t="s">
        <v>901</v>
      </c>
      <c r="AC295" s="126" t="s">
        <v>94</v>
      </c>
      <c r="AD295" s="128" t="s">
        <v>1995</v>
      </c>
    </row>
    <row r="296" spans="1:30">
      <c r="A296" s="125" t="s">
        <v>1422</v>
      </c>
      <c r="B296" s="126" t="s">
        <v>96</v>
      </c>
      <c r="C296" s="126">
        <f>C295+(BudgetsTable[[#This Row],[lead]]&lt;&gt;K295)</f>
        <v>62</v>
      </c>
      <c r="D296" s="126">
        <f>D295*(BudgetsTable[[#This Row],[lead]]=K295)+(BudgetsTable[[#This Row],[prop_id]]&lt;&gt;A295)</f>
        <v>1</v>
      </c>
      <c r="E296" s="127">
        <v>42809.727777777778</v>
      </c>
      <c r="F296" s="128" t="s">
        <v>1965</v>
      </c>
      <c r="G296" s="128" t="s">
        <v>741</v>
      </c>
      <c r="H296" s="128" t="s">
        <v>901</v>
      </c>
      <c r="I296" s="126" t="s">
        <v>948</v>
      </c>
      <c r="J296" s="126" t="s">
        <v>2308</v>
      </c>
      <c r="K296" s="128" t="s">
        <v>1422</v>
      </c>
      <c r="L296" s="7" t="str">
        <f>IF(BudgetsTable[[#This Row],[pi_last_name]]=" ","",HYPERLINK("https://www.ejacket.nsf.gov/ej/showProposal.do?Continue=Y&amp;ID="&amp;BudgetsTable[[#This Row],[prop_id]],BudgetsTable[[#This Row],[prop_id]]))</f>
        <v>1740843</v>
      </c>
      <c r="M296" s="15" t="str">
        <f>IF(BudgetsTable[[#This Row],[pi_last_name]]=" ","",HYPERLINK("https://www.ejacket.nsf.gov/ej/processReviewAnalysis.do?dispatch=add&amp;uniqId="&amp;BudgetsTable[[#This Row],[prop_id]]&amp;PO_id,"&gt;ra"))</f>
        <v>&gt;ra</v>
      </c>
      <c r="N296" s="128" t="s">
        <v>1423</v>
      </c>
      <c r="O296" s="7" t="str">
        <f>IF(BudgetsTable[[#This Row],[pi_last_name]]=" ","",HYPERLINK("mailto:"&amp;BudgetsTable[[#This Row],[pi_email]]&amp;"&amp;subject=Your NSF Proposal:  "&amp;BudgetsTable[[#This Row],[prop_id]],BudgetsTable[[#This Row],[pi_email]]))</f>
        <v>jclarke3@unl.edu</v>
      </c>
      <c r="P296" s="128" t="s">
        <v>2306</v>
      </c>
      <c r="Q296" s="128"/>
      <c r="R296" s="128"/>
      <c r="S296" s="129"/>
      <c r="T296" s="129"/>
      <c r="U296" s="129"/>
      <c r="V296" s="130"/>
      <c r="W296" s="128">
        <v>0</v>
      </c>
      <c r="X296" s="128"/>
      <c r="Y296" s="131" t="str">
        <f ca="1">IF(ISBLANK(BudgetsTable[[#This Row],[budg_seq_yr]]),"FY"&amp;fiscalyear,"FY"&amp;fiscalyear-1+BudgetsTable[[#This Row],[budg_seq_yr]])</f>
        <v>FY18</v>
      </c>
      <c r="Z296" s="129">
        <v>1472301</v>
      </c>
      <c r="AA296" s="128" t="s">
        <v>741</v>
      </c>
      <c r="AB296" s="128" t="s">
        <v>901</v>
      </c>
      <c r="AC296" s="126" t="s">
        <v>94</v>
      </c>
      <c r="AD296" s="128" t="s">
        <v>1987</v>
      </c>
    </row>
    <row r="297" spans="1:30">
      <c r="A297" s="125" t="s">
        <v>1422</v>
      </c>
      <c r="B297" s="126" t="s">
        <v>96</v>
      </c>
      <c r="C297" s="126">
        <f>C296+(BudgetsTable[[#This Row],[lead]]&lt;&gt;K296)</f>
        <v>62</v>
      </c>
      <c r="D297" s="126">
        <f>D296*(BudgetsTable[[#This Row],[lead]]=K296)+(BudgetsTable[[#This Row],[prop_id]]&lt;&gt;A296)</f>
        <v>1</v>
      </c>
      <c r="E297" s="127">
        <v>42809.727777777778</v>
      </c>
      <c r="F297" s="128" t="s">
        <v>1965</v>
      </c>
      <c r="G297" s="128" t="s">
        <v>741</v>
      </c>
      <c r="H297" s="128" t="s">
        <v>901</v>
      </c>
      <c r="I297" s="126" t="s">
        <v>948</v>
      </c>
      <c r="J297" s="126" t="s">
        <v>13</v>
      </c>
      <c r="K297" s="128" t="s">
        <v>1422</v>
      </c>
      <c r="L297" s="7" t="str">
        <f>IF(BudgetsTable[[#This Row],[pi_last_name]]=" ","",HYPERLINK("https://www.ejacket.nsf.gov/ej/showProposal.do?Continue=Y&amp;ID="&amp;BudgetsTable[[#This Row],[prop_id]],BudgetsTable[[#This Row],[prop_id]]))</f>
        <v/>
      </c>
      <c r="M297" s="15" t="str">
        <f>IF(BudgetsTable[[#This Row],[pi_last_name]]=" ","",HYPERLINK("https://www.ejacket.nsf.gov/ej/processReviewAnalysis.do?dispatch=add&amp;uniqId="&amp;BudgetsTable[[#This Row],[prop_id]]&amp;PO_id,"&gt;ra"))</f>
        <v/>
      </c>
      <c r="N297" s="128" t="s">
        <v>13</v>
      </c>
      <c r="O297" s="7" t="str">
        <f>IF(BudgetsTable[[#This Row],[pi_last_name]]=" ","",HYPERLINK("mailto:"&amp;BudgetsTable[[#This Row],[pi_email]]&amp;"&amp;subject=Your NSF Proposal:  "&amp;BudgetsTable[[#This Row],[prop_id]],BudgetsTable[[#This Row],[pi_email]]))</f>
        <v/>
      </c>
      <c r="P297" s="128" t="s">
        <v>13</v>
      </c>
      <c r="Q297" s="128">
        <v>8</v>
      </c>
      <c r="R297" s="128">
        <v>2.5</v>
      </c>
      <c r="S297" s="129">
        <v>70000</v>
      </c>
      <c r="T297" s="129">
        <v>0</v>
      </c>
      <c r="U297" s="129">
        <v>5000</v>
      </c>
      <c r="V297" s="130">
        <v>473997</v>
      </c>
      <c r="W297" s="128">
        <v>0</v>
      </c>
      <c r="X297" s="128">
        <v>1</v>
      </c>
      <c r="Y297" s="131" t="str">
        <f ca="1">IF(ISBLANK(BudgetsTable[[#This Row],[budg_seq_yr]]),"FY"&amp;fiscalyear,"FY"&amp;fiscalyear-1+BudgetsTable[[#This Row],[budg_seq_yr]])</f>
        <v>FY18</v>
      </c>
      <c r="Z297" s="129">
        <v>473997</v>
      </c>
      <c r="AA297" s="128" t="s">
        <v>741</v>
      </c>
      <c r="AB297" s="128" t="s">
        <v>901</v>
      </c>
      <c r="AC297" s="126" t="s">
        <v>94</v>
      </c>
      <c r="AD297" s="128" t="s">
        <v>1987</v>
      </c>
    </row>
    <row r="298" spans="1:30">
      <c r="A298" s="125" t="s">
        <v>1422</v>
      </c>
      <c r="B298" s="126" t="s">
        <v>96</v>
      </c>
      <c r="C298" s="126">
        <f>C297+(BudgetsTable[[#This Row],[lead]]&lt;&gt;K297)</f>
        <v>62</v>
      </c>
      <c r="D298" s="126">
        <f>D297*(BudgetsTable[[#This Row],[lead]]=K297)+(BudgetsTable[[#This Row],[prop_id]]&lt;&gt;A297)</f>
        <v>1</v>
      </c>
      <c r="E298" s="127">
        <v>42809.727777777778</v>
      </c>
      <c r="F298" s="128" t="s">
        <v>1965</v>
      </c>
      <c r="G298" s="128" t="s">
        <v>741</v>
      </c>
      <c r="H298" s="128" t="s">
        <v>901</v>
      </c>
      <c r="I298" s="126" t="s">
        <v>948</v>
      </c>
      <c r="J298" s="126" t="s">
        <v>13</v>
      </c>
      <c r="K298" s="128" t="s">
        <v>1422</v>
      </c>
      <c r="L298" s="7" t="str">
        <f>IF(BudgetsTable[[#This Row],[pi_last_name]]=" ","",HYPERLINK("https://www.ejacket.nsf.gov/ej/showProposal.do?Continue=Y&amp;ID="&amp;BudgetsTable[[#This Row],[prop_id]],BudgetsTable[[#This Row],[prop_id]]))</f>
        <v/>
      </c>
      <c r="M298" s="15" t="str">
        <f>IF(BudgetsTable[[#This Row],[pi_last_name]]=" ","",HYPERLINK("https://www.ejacket.nsf.gov/ej/processReviewAnalysis.do?dispatch=add&amp;uniqId="&amp;BudgetsTable[[#This Row],[prop_id]]&amp;PO_id,"&gt;ra"))</f>
        <v/>
      </c>
      <c r="N298" s="128" t="s">
        <v>13</v>
      </c>
      <c r="O298" s="7" t="str">
        <f>IF(BudgetsTable[[#This Row],[pi_last_name]]=" ","",HYPERLINK("mailto:"&amp;BudgetsTable[[#This Row],[pi_email]]&amp;"&amp;subject=Your NSF Proposal:  "&amp;BudgetsTable[[#This Row],[prop_id]],BudgetsTable[[#This Row],[pi_email]]))</f>
        <v/>
      </c>
      <c r="P298" s="128" t="s">
        <v>13</v>
      </c>
      <c r="Q298" s="128">
        <v>8</v>
      </c>
      <c r="R298" s="128">
        <v>2.5</v>
      </c>
      <c r="S298" s="129">
        <v>71400</v>
      </c>
      <c r="T298" s="129">
        <v>0</v>
      </c>
      <c r="U298" s="129">
        <v>22320</v>
      </c>
      <c r="V298" s="130">
        <v>498437</v>
      </c>
      <c r="W298" s="128">
        <v>0</v>
      </c>
      <c r="X298" s="128">
        <v>2</v>
      </c>
      <c r="Y298" s="131" t="str">
        <f ca="1">IF(ISBLANK(BudgetsTable[[#This Row],[budg_seq_yr]]),"FY"&amp;fiscalyear,"FY"&amp;fiscalyear-1+BudgetsTable[[#This Row],[budg_seq_yr]])</f>
        <v>FY19</v>
      </c>
      <c r="Z298" s="129">
        <v>498437</v>
      </c>
      <c r="AA298" s="128" t="s">
        <v>741</v>
      </c>
      <c r="AB298" s="128" t="s">
        <v>901</v>
      </c>
      <c r="AC298" s="126" t="s">
        <v>94</v>
      </c>
      <c r="AD298" s="128" t="s">
        <v>1987</v>
      </c>
    </row>
    <row r="299" spans="1:30">
      <c r="A299" s="125" t="s">
        <v>1422</v>
      </c>
      <c r="B299" s="126" t="s">
        <v>96</v>
      </c>
      <c r="C299" s="126">
        <f>C298+(BudgetsTable[[#This Row],[lead]]&lt;&gt;K298)</f>
        <v>62</v>
      </c>
      <c r="D299" s="126">
        <f>D298*(BudgetsTable[[#This Row],[lead]]=K298)+(BudgetsTable[[#This Row],[prop_id]]&lt;&gt;A298)</f>
        <v>1</v>
      </c>
      <c r="E299" s="127">
        <v>42809.727777777778</v>
      </c>
      <c r="F299" s="128" t="s">
        <v>1965</v>
      </c>
      <c r="G299" s="128" t="s">
        <v>741</v>
      </c>
      <c r="H299" s="128" t="s">
        <v>901</v>
      </c>
      <c r="I299" s="126" t="s">
        <v>948</v>
      </c>
      <c r="J299" s="126" t="s">
        <v>13</v>
      </c>
      <c r="K299" s="128" t="s">
        <v>1422</v>
      </c>
      <c r="L299" s="7" t="str">
        <f>IF(BudgetsTable[[#This Row],[pi_last_name]]=" ","",HYPERLINK("https://www.ejacket.nsf.gov/ej/showProposal.do?Continue=Y&amp;ID="&amp;BudgetsTable[[#This Row],[prop_id]],BudgetsTable[[#This Row],[prop_id]]))</f>
        <v/>
      </c>
      <c r="M299" s="15" t="str">
        <f>IF(BudgetsTable[[#This Row],[pi_last_name]]=" ","",HYPERLINK("https://www.ejacket.nsf.gov/ej/processReviewAnalysis.do?dispatch=add&amp;uniqId="&amp;BudgetsTable[[#This Row],[prop_id]]&amp;PO_id,"&gt;ra"))</f>
        <v/>
      </c>
      <c r="N299" s="128" t="s">
        <v>13</v>
      </c>
      <c r="O299" s="7" t="str">
        <f>IF(BudgetsTable[[#This Row],[pi_last_name]]=" ","",HYPERLINK("mailto:"&amp;BudgetsTable[[#This Row],[pi_email]]&amp;"&amp;subject=Your NSF Proposal:  "&amp;BudgetsTable[[#This Row],[prop_id]],BudgetsTable[[#This Row],[pi_email]]))</f>
        <v/>
      </c>
      <c r="P299" s="128" t="s">
        <v>13</v>
      </c>
      <c r="Q299" s="128">
        <v>8</v>
      </c>
      <c r="R299" s="128">
        <v>2.5</v>
      </c>
      <c r="S299" s="129">
        <v>72828</v>
      </c>
      <c r="T299" s="129">
        <v>0</v>
      </c>
      <c r="U299" s="129">
        <v>22320</v>
      </c>
      <c r="V299" s="130">
        <v>499867</v>
      </c>
      <c r="W299" s="128">
        <v>0</v>
      </c>
      <c r="X299" s="128">
        <v>3</v>
      </c>
      <c r="Y299" s="131" t="str">
        <f ca="1">IF(ISBLANK(BudgetsTable[[#This Row],[budg_seq_yr]]),"FY"&amp;fiscalyear,"FY"&amp;fiscalyear-1+BudgetsTable[[#This Row],[budg_seq_yr]])</f>
        <v>FY20</v>
      </c>
      <c r="Z299" s="129">
        <v>499867</v>
      </c>
      <c r="AA299" s="128" t="s">
        <v>741</v>
      </c>
      <c r="AB299" s="128" t="s">
        <v>901</v>
      </c>
      <c r="AC299" s="126" t="s">
        <v>94</v>
      </c>
      <c r="AD299" s="128" t="s">
        <v>1987</v>
      </c>
    </row>
    <row r="300" spans="1:30">
      <c r="A300" s="125" t="s">
        <v>1429</v>
      </c>
      <c r="B300" s="126" t="s">
        <v>96</v>
      </c>
      <c r="C300" s="126">
        <f>C299+(BudgetsTable[[#This Row],[lead]]&lt;&gt;K299)</f>
        <v>63</v>
      </c>
      <c r="D300" s="126">
        <f>D299*(BudgetsTable[[#This Row],[lead]]=K299)+(BudgetsTable[[#This Row],[prop_id]]&lt;&gt;A299)</f>
        <v>1</v>
      </c>
      <c r="E300" s="127">
        <v>42809.763888888891</v>
      </c>
      <c r="F300" s="128" t="s">
        <v>1965</v>
      </c>
      <c r="G300" s="128" t="s">
        <v>741</v>
      </c>
      <c r="H300" s="128" t="s">
        <v>901</v>
      </c>
      <c r="I300" s="126" t="s">
        <v>942</v>
      </c>
      <c r="J300" s="126" t="s">
        <v>2313</v>
      </c>
      <c r="K300" s="128" t="s">
        <v>1429</v>
      </c>
      <c r="L300" s="7" t="str">
        <f>IF(BudgetsTable[[#This Row],[pi_last_name]]=" ","",HYPERLINK("https://www.ejacket.nsf.gov/ej/showProposal.do?Continue=Y&amp;ID="&amp;BudgetsTable[[#This Row],[prop_id]],BudgetsTable[[#This Row],[prop_id]]))</f>
        <v>1740850</v>
      </c>
      <c r="M300" s="15" t="str">
        <f>IF(BudgetsTable[[#This Row],[pi_last_name]]=" ","",HYPERLINK("https://www.ejacket.nsf.gov/ej/processReviewAnalysis.do?dispatch=add&amp;uniqId="&amp;BudgetsTable[[#This Row],[prop_id]]&amp;PO_id,"&gt;ra"))</f>
        <v>&gt;ra</v>
      </c>
      <c r="N300" s="128" t="s">
        <v>1430</v>
      </c>
      <c r="O300" s="7" t="str">
        <f>IF(BudgetsTable[[#This Row],[pi_last_name]]=" ","",HYPERLINK("mailto:"&amp;BudgetsTable[[#This Row],[pi_email]]&amp;"&amp;subject=Your NSF Proposal:  "&amp;BudgetsTable[[#This Row],[prop_id]],BudgetsTable[[#This Row],[pi_email]]))</f>
        <v>getoor@soe.ucsc.edu</v>
      </c>
      <c r="P300" s="128" t="s">
        <v>2310</v>
      </c>
      <c r="Q300" s="128"/>
      <c r="R300" s="128"/>
      <c r="S300" s="129"/>
      <c r="T300" s="129"/>
      <c r="U300" s="129"/>
      <c r="V300" s="130"/>
      <c r="W300" s="128">
        <v>0</v>
      </c>
      <c r="X300" s="128"/>
      <c r="Y300" s="131" t="str">
        <f ca="1">IF(ISBLANK(BudgetsTable[[#This Row],[budg_seq_yr]]),"FY"&amp;fiscalyear,"FY"&amp;fiscalyear-1+BudgetsTable[[#This Row],[budg_seq_yr]])</f>
        <v>FY18</v>
      </c>
      <c r="Z300" s="129">
        <v>1500000</v>
      </c>
      <c r="AA300" s="128" t="s">
        <v>741</v>
      </c>
      <c r="AB300" s="128" t="s">
        <v>901</v>
      </c>
      <c r="AC300" s="126" t="s">
        <v>94</v>
      </c>
      <c r="AD300" s="128" t="s">
        <v>1968</v>
      </c>
    </row>
    <row r="301" spans="1:30">
      <c r="A301" s="125" t="s">
        <v>1429</v>
      </c>
      <c r="B301" s="126" t="s">
        <v>96</v>
      </c>
      <c r="C301" s="126">
        <f>C300+(BudgetsTable[[#This Row],[lead]]&lt;&gt;K300)</f>
        <v>63</v>
      </c>
      <c r="D301" s="126">
        <f>D300*(BudgetsTable[[#This Row],[lead]]=K300)+(BudgetsTable[[#This Row],[prop_id]]&lt;&gt;A300)</f>
        <v>1</v>
      </c>
      <c r="E301" s="127">
        <v>42809.763888888891</v>
      </c>
      <c r="F301" s="128" t="s">
        <v>1965</v>
      </c>
      <c r="G301" s="128" t="s">
        <v>741</v>
      </c>
      <c r="H301" s="128" t="s">
        <v>901</v>
      </c>
      <c r="I301" s="126" t="s">
        <v>942</v>
      </c>
      <c r="J301" s="126" t="s">
        <v>13</v>
      </c>
      <c r="K301" s="128" t="s">
        <v>1429</v>
      </c>
      <c r="L301" s="7" t="str">
        <f>IF(BudgetsTable[[#This Row],[pi_last_name]]=" ","",HYPERLINK("https://www.ejacket.nsf.gov/ej/showProposal.do?Continue=Y&amp;ID="&amp;BudgetsTable[[#This Row],[prop_id]],BudgetsTable[[#This Row],[prop_id]]))</f>
        <v/>
      </c>
      <c r="M301" s="15" t="str">
        <f>IF(BudgetsTable[[#This Row],[pi_last_name]]=" ","",HYPERLINK("https://www.ejacket.nsf.gov/ej/processReviewAnalysis.do?dispatch=add&amp;uniqId="&amp;BudgetsTable[[#This Row],[prop_id]]&amp;PO_id,"&gt;ra"))</f>
        <v/>
      </c>
      <c r="N301" s="128" t="s">
        <v>13</v>
      </c>
      <c r="O301" s="7" t="str">
        <f>IF(BudgetsTable[[#This Row],[pi_last_name]]=" ","",HYPERLINK("mailto:"&amp;BudgetsTable[[#This Row],[pi_email]]&amp;"&amp;subject=Your NSF Proposal:  "&amp;BudgetsTable[[#This Row],[prop_id]],BudgetsTable[[#This Row],[pi_email]]))</f>
        <v/>
      </c>
      <c r="P301" s="128" t="s">
        <v>13</v>
      </c>
      <c r="Q301" s="128">
        <v>3</v>
      </c>
      <c r="R301" s="128">
        <v>1.5</v>
      </c>
      <c r="S301" s="129">
        <v>75000</v>
      </c>
      <c r="T301" s="129">
        <v>0</v>
      </c>
      <c r="U301" s="129">
        <v>20000</v>
      </c>
      <c r="V301" s="130">
        <v>500000</v>
      </c>
      <c r="W301" s="128">
        <v>0</v>
      </c>
      <c r="X301" s="128">
        <v>1</v>
      </c>
      <c r="Y301" s="131" t="str">
        <f ca="1">IF(ISBLANK(BudgetsTable[[#This Row],[budg_seq_yr]]),"FY"&amp;fiscalyear,"FY"&amp;fiscalyear-1+BudgetsTable[[#This Row],[budg_seq_yr]])</f>
        <v>FY18</v>
      </c>
      <c r="Z301" s="129">
        <v>500000</v>
      </c>
      <c r="AA301" s="128" t="s">
        <v>741</v>
      </c>
      <c r="AB301" s="128" t="s">
        <v>901</v>
      </c>
      <c r="AC301" s="126" t="s">
        <v>94</v>
      </c>
      <c r="AD301" s="128" t="s">
        <v>1968</v>
      </c>
    </row>
    <row r="302" spans="1:30">
      <c r="A302" s="125" t="s">
        <v>1429</v>
      </c>
      <c r="B302" s="126" t="s">
        <v>96</v>
      </c>
      <c r="C302" s="126">
        <f>C301+(BudgetsTable[[#This Row],[lead]]&lt;&gt;K301)</f>
        <v>63</v>
      </c>
      <c r="D302" s="126">
        <f>D301*(BudgetsTable[[#This Row],[lead]]=K301)+(BudgetsTable[[#This Row],[prop_id]]&lt;&gt;A301)</f>
        <v>1</v>
      </c>
      <c r="E302" s="127">
        <v>42809.763888888891</v>
      </c>
      <c r="F302" s="128" t="s">
        <v>1965</v>
      </c>
      <c r="G302" s="128" t="s">
        <v>741</v>
      </c>
      <c r="H302" s="128" t="s">
        <v>901</v>
      </c>
      <c r="I302" s="126" t="s">
        <v>942</v>
      </c>
      <c r="J302" s="126" t="s">
        <v>13</v>
      </c>
      <c r="K302" s="128" t="s">
        <v>1429</v>
      </c>
      <c r="L302" s="7" t="str">
        <f>IF(BudgetsTable[[#This Row],[pi_last_name]]=" ","",HYPERLINK("https://www.ejacket.nsf.gov/ej/showProposal.do?Continue=Y&amp;ID="&amp;BudgetsTable[[#This Row],[prop_id]],BudgetsTable[[#This Row],[prop_id]]))</f>
        <v/>
      </c>
      <c r="M302" s="15" t="str">
        <f>IF(BudgetsTable[[#This Row],[pi_last_name]]=" ","",HYPERLINK("https://www.ejacket.nsf.gov/ej/processReviewAnalysis.do?dispatch=add&amp;uniqId="&amp;BudgetsTable[[#This Row],[prop_id]]&amp;PO_id,"&gt;ra"))</f>
        <v/>
      </c>
      <c r="N302" s="128" t="s">
        <v>13</v>
      </c>
      <c r="O302" s="7" t="str">
        <f>IF(BudgetsTable[[#This Row],[pi_last_name]]=" ","",HYPERLINK("mailto:"&amp;BudgetsTable[[#This Row],[pi_email]]&amp;"&amp;subject=Your NSF Proposal:  "&amp;BudgetsTable[[#This Row],[prop_id]],BudgetsTable[[#This Row],[pi_email]]))</f>
        <v/>
      </c>
      <c r="P302" s="128" t="s">
        <v>13</v>
      </c>
      <c r="Q302" s="128">
        <v>3</v>
      </c>
      <c r="R302" s="128">
        <v>1.5</v>
      </c>
      <c r="S302" s="129">
        <v>77250</v>
      </c>
      <c r="T302" s="129">
        <v>0</v>
      </c>
      <c r="U302" s="129">
        <v>20000</v>
      </c>
      <c r="V302" s="130">
        <v>500000</v>
      </c>
      <c r="W302" s="128">
        <v>0</v>
      </c>
      <c r="X302" s="128">
        <v>2</v>
      </c>
      <c r="Y302" s="131" t="str">
        <f ca="1">IF(ISBLANK(BudgetsTable[[#This Row],[budg_seq_yr]]),"FY"&amp;fiscalyear,"FY"&amp;fiscalyear-1+BudgetsTable[[#This Row],[budg_seq_yr]])</f>
        <v>FY19</v>
      </c>
      <c r="Z302" s="129">
        <v>500000</v>
      </c>
      <c r="AA302" s="128" t="s">
        <v>741</v>
      </c>
      <c r="AB302" s="128" t="s">
        <v>901</v>
      </c>
      <c r="AC302" s="126" t="s">
        <v>94</v>
      </c>
      <c r="AD302" s="128" t="s">
        <v>1968</v>
      </c>
    </row>
    <row r="303" spans="1:30">
      <c r="A303" s="125" t="s">
        <v>1429</v>
      </c>
      <c r="B303" s="126" t="s">
        <v>96</v>
      </c>
      <c r="C303" s="126">
        <f>C302+(BudgetsTable[[#This Row],[lead]]&lt;&gt;K302)</f>
        <v>63</v>
      </c>
      <c r="D303" s="126">
        <f>D302*(BudgetsTable[[#This Row],[lead]]=K302)+(BudgetsTable[[#This Row],[prop_id]]&lt;&gt;A302)</f>
        <v>1</v>
      </c>
      <c r="E303" s="127">
        <v>42809.763888888891</v>
      </c>
      <c r="F303" s="128" t="s">
        <v>1965</v>
      </c>
      <c r="G303" s="128" t="s">
        <v>741</v>
      </c>
      <c r="H303" s="128" t="s">
        <v>901</v>
      </c>
      <c r="I303" s="126" t="s">
        <v>942</v>
      </c>
      <c r="J303" s="126" t="s">
        <v>13</v>
      </c>
      <c r="K303" s="128" t="s">
        <v>1429</v>
      </c>
      <c r="L303" s="7" t="str">
        <f>IF(BudgetsTable[[#This Row],[pi_last_name]]=" ","",HYPERLINK("https://www.ejacket.nsf.gov/ej/showProposal.do?Continue=Y&amp;ID="&amp;BudgetsTable[[#This Row],[prop_id]],BudgetsTable[[#This Row],[prop_id]]))</f>
        <v/>
      </c>
      <c r="M303" s="15" t="str">
        <f>IF(BudgetsTable[[#This Row],[pi_last_name]]=" ","",HYPERLINK("https://www.ejacket.nsf.gov/ej/processReviewAnalysis.do?dispatch=add&amp;uniqId="&amp;BudgetsTable[[#This Row],[prop_id]]&amp;PO_id,"&gt;ra"))</f>
        <v/>
      </c>
      <c r="N303" s="128" t="s">
        <v>13</v>
      </c>
      <c r="O303" s="7" t="str">
        <f>IF(BudgetsTable[[#This Row],[pi_last_name]]=" ","",HYPERLINK("mailto:"&amp;BudgetsTable[[#This Row],[pi_email]]&amp;"&amp;subject=Your NSF Proposal:  "&amp;BudgetsTable[[#This Row],[prop_id]],BudgetsTable[[#This Row],[pi_email]]))</f>
        <v/>
      </c>
      <c r="P303" s="128" t="s">
        <v>13</v>
      </c>
      <c r="Q303" s="128">
        <v>3</v>
      </c>
      <c r="R303" s="128">
        <v>1.42</v>
      </c>
      <c r="S303" s="129">
        <v>79568</v>
      </c>
      <c r="T303" s="129">
        <v>0</v>
      </c>
      <c r="U303" s="129">
        <v>15000</v>
      </c>
      <c r="V303" s="130">
        <v>500000</v>
      </c>
      <c r="W303" s="128">
        <v>0</v>
      </c>
      <c r="X303" s="128">
        <v>3</v>
      </c>
      <c r="Y303" s="131" t="str">
        <f ca="1">IF(ISBLANK(BudgetsTable[[#This Row],[budg_seq_yr]]),"FY"&amp;fiscalyear,"FY"&amp;fiscalyear-1+BudgetsTable[[#This Row],[budg_seq_yr]])</f>
        <v>FY20</v>
      </c>
      <c r="Z303" s="129">
        <v>500000</v>
      </c>
      <c r="AA303" s="128" t="s">
        <v>741</v>
      </c>
      <c r="AB303" s="128" t="s">
        <v>901</v>
      </c>
      <c r="AC303" s="126" t="s">
        <v>94</v>
      </c>
      <c r="AD303" s="128" t="s">
        <v>1968</v>
      </c>
    </row>
    <row r="304" spans="1:30">
      <c r="A304" s="125" t="s">
        <v>1438</v>
      </c>
      <c r="B304" s="126" t="s">
        <v>96</v>
      </c>
      <c r="C304" s="126">
        <f>C303+(BudgetsTable[[#This Row],[lead]]&lt;&gt;K303)</f>
        <v>64</v>
      </c>
      <c r="D304" s="126">
        <f>D303*(BudgetsTable[[#This Row],[lead]]=K303)+(BudgetsTable[[#This Row],[prop_id]]&lt;&gt;A303)</f>
        <v>1</v>
      </c>
      <c r="E304" s="127">
        <v>42809.763888888891</v>
      </c>
      <c r="F304" s="128" t="s">
        <v>1965</v>
      </c>
      <c r="G304" s="128" t="s">
        <v>741</v>
      </c>
      <c r="H304" s="128" t="s">
        <v>901</v>
      </c>
      <c r="I304" s="126" t="s">
        <v>942</v>
      </c>
      <c r="J304" s="126" t="s">
        <v>2317</v>
      </c>
      <c r="K304" s="128" t="s">
        <v>1438</v>
      </c>
      <c r="L304" s="7" t="str">
        <f>IF(BudgetsTable[[#This Row],[pi_last_name]]=" ","",HYPERLINK("https://www.ejacket.nsf.gov/ej/showProposal.do?Continue=Y&amp;ID="&amp;BudgetsTable[[#This Row],[prop_id]],BudgetsTable[[#This Row],[prop_id]]))</f>
        <v>1740851</v>
      </c>
      <c r="M304" s="15" t="str">
        <f>IF(BudgetsTable[[#This Row],[pi_last_name]]=" ","",HYPERLINK("https://www.ejacket.nsf.gov/ej/processReviewAnalysis.do?dispatch=add&amp;uniqId="&amp;BudgetsTable[[#This Row],[prop_id]]&amp;PO_id,"&gt;ra"))</f>
        <v>&gt;ra</v>
      </c>
      <c r="N304" s="128" t="s">
        <v>1439</v>
      </c>
      <c r="O304" s="7" t="str">
        <f>IF(BudgetsTable[[#This Row],[pi_last_name]]=" ","",HYPERLINK("mailto:"&amp;BudgetsTable[[#This Row],[pi_email]]&amp;"&amp;subject=Your NSF Proposal:  "&amp;BudgetsTable[[#This Row],[prop_id]],BudgetsTable[[#This Row],[pi_email]]))</f>
        <v>pfbaldi@ics.uci.edu</v>
      </c>
      <c r="P304" s="128" t="s">
        <v>2315</v>
      </c>
      <c r="Q304" s="128"/>
      <c r="R304" s="128"/>
      <c r="S304" s="129"/>
      <c r="T304" s="129"/>
      <c r="U304" s="129"/>
      <c r="V304" s="130"/>
      <c r="W304" s="128">
        <v>1</v>
      </c>
      <c r="X304" s="128"/>
      <c r="Y304" s="131" t="str">
        <f ca="1">IF(ISBLANK(BudgetsTable[[#This Row],[budg_seq_yr]]),"FY"&amp;fiscalyear,"FY"&amp;fiscalyear-1+BudgetsTable[[#This Row],[budg_seq_yr]])</f>
        <v>FY18</v>
      </c>
      <c r="Z304" s="129">
        <v>1482592</v>
      </c>
      <c r="AA304" s="128" t="s">
        <v>741</v>
      </c>
      <c r="AB304" s="128" t="s">
        <v>901</v>
      </c>
      <c r="AC304" s="126" t="s">
        <v>94</v>
      </c>
      <c r="AD304" s="128" t="s">
        <v>1968</v>
      </c>
    </row>
    <row r="305" spans="1:30">
      <c r="A305" s="125" t="s">
        <v>1438</v>
      </c>
      <c r="B305" s="126" t="s">
        <v>96</v>
      </c>
      <c r="C305" s="126">
        <f>C304+(BudgetsTable[[#This Row],[lead]]&lt;&gt;K304)</f>
        <v>64</v>
      </c>
      <c r="D305" s="126">
        <f>D304*(BudgetsTable[[#This Row],[lead]]=K304)+(BudgetsTable[[#This Row],[prop_id]]&lt;&gt;A304)</f>
        <v>1</v>
      </c>
      <c r="E305" s="127">
        <v>42809.763888888891</v>
      </c>
      <c r="F305" s="128" t="s">
        <v>1965</v>
      </c>
      <c r="G305" s="128" t="s">
        <v>741</v>
      </c>
      <c r="H305" s="128" t="s">
        <v>901</v>
      </c>
      <c r="I305" s="126" t="s">
        <v>942</v>
      </c>
      <c r="J305" s="126" t="s">
        <v>13</v>
      </c>
      <c r="K305" s="128" t="s">
        <v>1438</v>
      </c>
      <c r="L305" s="7" t="str">
        <f>IF(BudgetsTable[[#This Row],[pi_last_name]]=" ","",HYPERLINK("https://www.ejacket.nsf.gov/ej/showProposal.do?Continue=Y&amp;ID="&amp;BudgetsTable[[#This Row],[prop_id]],BudgetsTable[[#This Row],[prop_id]]))</f>
        <v/>
      </c>
      <c r="M305" s="15" t="str">
        <f>IF(BudgetsTable[[#This Row],[pi_last_name]]=" ","",HYPERLINK("https://www.ejacket.nsf.gov/ej/processReviewAnalysis.do?dispatch=add&amp;uniqId="&amp;BudgetsTable[[#This Row],[prop_id]]&amp;PO_id,"&gt;ra"))</f>
        <v/>
      </c>
      <c r="N305" s="128" t="s">
        <v>13</v>
      </c>
      <c r="O305" s="7" t="str">
        <f>IF(BudgetsTable[[#This Row],[pi_last_name]]=" ","",HYPERLINK("mailto:"&amp;BudgetsTable[[#This Row],[pi_email]]&amp;"&amp;subject=Your NSF Proposal:  "&amp;BudgetsTable[[#This Row],[prop_id]],BudgetsTable[[#This Row],[pi_email]]))</f>
        <v/>
      </c>
      <c r="P305" s="128" t="s">
        <v>13</v>
      </c>
      <c r="Q305" s="128">
        <v>3</v>
      </c>
      <c r="R305" s="128">
        <v>4.75</v>
      </c>
      <c r="S305" s="129">
        <v>0</v>
      </c>
      <c r="T305" s="129">
        <v>6000</v>
      </c>
      <c r="U305" s="129">
        <v>0</v>
      </c>
      <c r="V305" s="130">
        <v>484395</v>
      </c>
      <c r="W305" s="128">
        <v>1</v>
      </c>
      <c r="X305" s="128">
        <v>1</v>
      </c>
      <c r="Y305" s="131" t="str">
        <f ca="1">IF(ISBLANK(BudgetsTable[[#This Row],[budg_seq_yr]]),"FY"&amp;fiscalyear,"FY"&amp;fiscalyear-1+BudgetsTable[[#This Row],[budg_seq_yr]])</f>
        <v>FY18</v>
      </c>
      <c r="Z305" s="129">
        <v>484395</v>
      </c>
      <c r="AA305" s="128" t="s">
        <v>741</v>
      </c>
      <c r="AB305" s="128" t="s">
        <v>901</v>
      </c>
      <c r="AC305" s="126" t="s">
        <v>94</v>
      </c>
      <c r="AD305" s="128" t="s">
        <v>1968</v>
      </c>
    </row>
    <row r="306" spans="1:30">
      <c r="A306" s="125" t="s">
        <v>1438</v>
      </c>
      <c r="B306" s="126" t="s">
        <v>96</v>
      </c>
      <c r="C306" s="126">
        <f>C305+(BudgetsTable[[#This Row],[lead]]&lt;&gt;K305)</f>
        <v>64</v>
      </c>
      <c r="D306" s="126">
        <f>D305*(BudgetsTable[[#This Row],[lead]]=K305)+(BudgetsTable[[#This Row],[prop_id]]&lt;&gt;A305)</f>
        <v>1</v>
      </c>
      <c r="E306" s="127">
        <v>42809.763888888891</v>
      </c>
      <c r="F306" s="128" t="s">
        <v>1965</v>
      </c>
      <c r="G306" s="128" t="s">
        <v>741</v>
      </c>
      <c r="H306" s="128" t="s">
        <v>901</v>
      </c>
      <c r="I306" s="126" t="s">
        <v>942</v>
      </c>
      <c r="J306" s="126" t="s">
        <v>13</v>
      </c>
      <c r="K306" s="128" t="s">
        <v>1438</v>
      </c>
      <c r="L306" s="7" t="str">
        <f>IF(BudgetsTable[[#This Row],[pi_last_name]]=" ","",HYPERLINK("https://www.ejacket.nsf.gov/ej/showProposal.do?Continue=Y&amp;ID="&amp;BudgetsTable[[#This Row],[prop_id]],BudgetsTable[[#This Row],[prop_id]]))</f>
        <v/>
      </c>
      <c r="M306" s="15" t="str">
        <f>IF(BudgetsTable[[#This Row],[pi_last_name]]=" ","",HYPERLINK("https://www.ejacket.nsf.gov/ej/processReviewAnalysis.do?dispatch=add&amp;uniqId="&amp;BudgetsTable[[#This Row],[prop_id]]&amp;PO_id,"&gt;ra"))</f>
        <v/>
      </c>
      <c r="N306" s="128" t="s">
        <v>13</v>
      </c>
      <c r="O306" s="7" t="str">
        <f>IF(BudgetsTable[[#This Row],[pi_last_name]]=" ","",HYPERLINK("mailto:"&amp;BudgetsTable[[#This Row],[pi_email]]&amp;"&amp;subject=Your NSF Proposal:  "&amp;BudgetsTable[[#This Row],[prop_id]],BudgetsTable[[#This Row],[pi_email]]))</f>
        <v/>
      </c>
      <c r="P306" s="128" t="s">
        <v>13</v>
      </c>
      <c r="Q306" s="128">
        <v>3</v>
      </c>
      <c r="R306" s="128">
        <v>4.5</v>
      </c>
      <c r="S306" s="129">
        <v>0</v>
      </c>
      <c r="T306" s="129">
        <v>6000</v>
      </c>
      <c r="U306" s="129">
        <v>0</v>
      </c>
      <c r="V306" s="130">
        <v>498198</v>
      </c>
      <c r="W306" s="128">
        <v>1</v>
      </c>
      <c r="X306" s="128">
        <v>2</v>
      </c>
      <c r="Y306" s="131" t="str">
        <f ca="1">IF(ISBLANK(BudgetsTable[[#This Row],[budg_seq_yr]]),"FY"&amp;fiscalyear,"FY"&amp;fiscalyear-1+BudgetsTable[[#This Row],[budg_seq_yr]])</f>
        <v>FY19</v>
      </c>
      <c r="Z306" s="129">
        <v>498198</v>
      </c>
      <c r="AA306" s="128" t="s">
        <v>741</v>
      </c>
      <c r="AB306" s="128" t="s">
        <v>901</v>
      </c>
      <c r="AC306" s="126" t="s">
        <v>94</v>
      </c>
      <c r="AD306" s="128" t="s">
        <v>1968</v>
      </c>
    </row>
    <row r="307" spans="1:30">
      <c r="A307" s="125" t="s">
        <v>1438</v>
      </c>
      <c r="B307" s="126" t="s">
        <v>96</v>
      </c>
      <c r="C307" s="126">
        <f>C306+(BudgetsTable[[#This Row],[lead]]&lt;&gt;K306)</f>
        <v>64</v>
      </c>
      <c r="D307" s="126">
        <f>D306*(BudgetsTable[[#This Row],[lead]]=K306)+(BudgetsTable[[#This Row],[prop_id]]&lt;&gt;A306)</f>
        <v>1</v>
      </c>
      <c r="E307" s="127">
        <v>42809.763888888891</v>
      </c>
      <c r="F307" s="128" t="s">
        <v>1965</v>
      </c>
      <c r="G307" s="128" t="s">
        <v>741</v>
      </c>
      <c r="H307" s="128" t="s">
        <v>901</v>
      </c>
      <c r="I307" s="126" t="s">
        <v>942</v>
      </c>
      <c r="J307" s="126" t="s">
        <v>13</v>
      </c>
      <c r="K307" s="128" t="s">
        <v>1438</v>
      </c>
      <c r="L307" s="7" t="str">
        <f>IF(BudgetsTable[[#This Row],[pi_last_name]]=" ","",HYPERLINK("https://www.ejacket.nsf.gov/ej/showProposal.do?Continue=Y&amp;ID="&amp;BudgetsTable[[#This Row],[prop_id]],BudgetsTable[[#This Row],[prop_id]]))</f>
        <v/>
      </c>
      <c r="M307" s="15" t="str">
        <f>IF(BudgetsTable[[#This Row],[pi_last_name]]=" ","",HYPERLINK("https://www.ejacket.nsf.gov/ej/processReviewAnalysis.do?dispatch=add&amp;uniqId="&amp;BudgetsTable[[#This Row],[prop_id]]&amp;PO_id,"&gt;ra"))</f>
        <v/>
      </c>
      <c r="N307" s="128" t="s">
        <v>13</v>
      </c>
      <c r="O307" s="7" t="str">
        <f>IF(BudgetsTable[[#This Row],[pi_last_name]]=" ","",HYPERLINK("mailto:"&amp;BudgetsTable[[#This Row],[pi_email]]&amp;"&amp;subject=Your NSF Proposal:  "&amp;BudgetsTable[[#This Row],[prop_id]],BudgetsTable[[#This Row],[pi_email]]))</f>
        <v/>
      </c>
      <c r="P307" s="128" t="s">
        <v>13</v>
      </c>
      <c r="Q307" s="128">
        <v>3</v>
      </c>
      <c r="R307" s="128">
        <v>4.5</v>
      </c>
      <c r="S307" s="129">
        <v>0</v>
      </c>
      <c r="T307" s="129">
        <v>0</v>
      </c>
      <c r="U307" s="129">
        <v>0</v>
      </c>
      <c r="V307" s="130">
        <v>499999</v>
      </c>
      <c r="W307" s="128">
        <v>1</v>
      </c>
      <c r="X307" s="128">
        <v>3</v>
      </c>
      <c r="Y307" s="131" t="str">
        <f ca="1">IF(ISBLANK(BudgetsTable[[#This Row],[budg_seq_yr]]),"FY"&amp;fiscalyear,"FY"&amp;fiscalyear-1+BudgetsTable[[#This Row],[budg_seq_yr]])</f>
        <v>FY20</v>
      </c>
      <c r="Z307" s="129">
        <v>499999</v>
      </c>
      <c r="AA307" s="128" t="s">
        <v>741</v>
      </c>
      <c r="AB307" s="128" t="s">
        <v>901</v>
      </c>
      <c r="AC307" s="126" t="s">
        <v>94</v>
      </c>
      <c r="AD307" s="128" t="s">
        <v>1968</v>
      </c>
    </row>
    <row r="308" spans="1:30">
      <c r="A308" s="125" t="s">
        <v>1445</v>
      </c>
      <c r="B308" s="126" t="s">
        <v>96</v>
      </c>
      <c r="C308" s="126">
        <f>C307+(BudgetsTable[[#This Row],[lead]]&lt;&gt;K307)</f>
        <v>65</v>
      </c>
      <c r="D308" s="126">
        <f>D307*(BudgetsTable[[#This Row],[lead]]=K307)+(BudgetsTable[[#This Row],[prop_id]]&lt;&gt;A307)</f>
        <v>1</v>
      </c>
      <c r="E308" s="127">
        <v>42809.765972222223</v>
      </c>
      <c r="F308" s="128" t="s">
        <v>1965</v>
      </c>
      <c r="G308" s="128" t="s">
        <v>741</v>
      </c>
      <c r="H308" s="128" t="s">
        <v>901</v>
      </c>
      <c r="I308" s="126" t="s">
        <v>942</v>
      </c>
      <c r="J308" s="126" t="s">
        <v>2320</v>
      </c>
      <c r="K308" s="128" t="s">
        <v>1445</v>
      </c>
      <c r="L308" s="7" t="str">
        <f>IF(BudgetsTable[[#This Row],[pi_last_name]]=" ","",HYPERLINK("https://www.ejacket.nsf.gov/ej/showProposal.do?Continue=Y&amp;ID="&amp;BudgetsTable[[#This Row],[prop_id]],BudgetsTable[[#This Row],[prop_id]]))</f>
        <v>1740852</v>
      </c>
      <c r="M308" s="15" t="str">
        <f>IF(BudgetsTable[[#This Row],[pi_last_name]]=" ","",HYPERLINK("https://www.ejacket.nsf.gov/ej/processReviewAnalysis.do?dispatch=add&amp;uniqId="&amp;BudgetsTable[[#This Row],[prop_id]]&amp;PO_id,"&gt;ra"))</f>
        <v>&gt;ra</v>
      </c>
      <c r="N308" s="128" t="s">
        <v>1141</v>
      </c>
      <c r="O308" s="7" t="str">
        <f>IF(BudgetsTable[[#This Row],[pi_last_name]]=" ","",HYPERLINK("mailto:"&amp;BudgetsTable[[#This Row],[pi_email]]&amp;"&amp;subject=Your NSF Proposal:  "&amp;BudgetsTable[[#This Row],[prop_id]],BudgetsTable[[#This Row],[pi_email]]))</f>
        <v>gilbert@cs.ucsb.edu</v>
      </c>
      <c r="P308" s="128" t="s">
        <v>2318</v>
      </c>
      <c r="Q308" s="128"/>
      <c r="R308" s="128"/>
      <c r="S308" s="129"/>
      <c r="T308" s="129"/>
      <c r="U308" s="129"/>
      <c r="V308" s="130"/>
      <c r="W308" s="128">
        <v>0</v>
      </c>
      <c r="X308" s="128"/>
      <c r="Y308" s="131" t="str">
        <f ca="1">IF(ISBLANK(BudgetsTable[[#This Row],[budg_seq_yr]]),"FY"&amp;fiscalyear,"FY"&amp;fiscalyear-1+BudgetsTable[[#This Row],[budg_seq_yr]])</f>
        <v>FY18</v>
      </c>
      <c r="Z308" s="129">
        <v>1496834</v>
      </c>
      <c r="AA308" s="128" t="s">
        <v>741</v>
      </c>
      <c r="AB308" s="128" t="s">
        <v>901</v>
      </c>
      <c r="AC308" s="126" t="s">
        <v>94</v>
      </c>
      <c r="AD308" s="128" t="s">
        <v>1968</v>
      </c>
    </row>
    <row r="309" spans="1:30">
      <c r="A309" s="125" t="s">
        <v>1445</v>
      </c>
      <c r="B309" s="126" t="s">
        <v>96</v>
      </c>
      <c r="C309" s="126">
        <f>C308+(BudgetsTable[[#This Row],[lead]]&lt;&gt;K308)</f>
        <v>65</v>
      </c>
      <c r="D309" s="126">
        <f>D308*(BudgetsTable[[#This Row],[lead]]=K308)+(BudgetsTable[[#This Row],[prop_id]]&lt;&gt;A308)</f>
        <v>1</v>
      </c>
      <c r="E309" s="127">
        <v>42809.765972222223</v>
      </c>
      <c r="F309" s="128" t="s">
        <v>1965</v>
      </c>
      <c r="G309" s="128" t="s">
        <v>741</v>
      </c>
      <c r="H309" s="128" t="s">
        <v>901</v>
      </c>
      <c r="I309" s="126" t="s">
        <v>942</v>
      </c>
      <c r="J309" s="126" t="s">
        <v>13</v>
      </c>
      <c r="K309" s="128" t="s">
        <v>1445</v>
      </c>
      <c r="L309" s="7" t="str">
        <f>IF(BudgetsTable[[#This Row],[pi_last_name]]=" ","",HYPERLINK("https://www.ejacket.nsf.gov/ej/showProposal.do?Continue=Y&amp;ID="&amp;BudgetsTable[[#This Row],[prop_id]],BudgetsTable[[#This Row],[prop_id]]))</f>
        <v/>
      </c>
      <c r="M309" s="15" t="str">
        <f>IF(BudgetsTable[[#This Row],[pi_last_name]]=" ","",HYPERLINK("https://www.ejacket.nsf.gov/ej/processReviewAnalysis.do?dispatch=add&amp;uniqId="&amp;BudgetsTable[[#This Row],[prop_id]]&amp;PO_id,"&gt;ra"))</f>
        <v/>
      </c>
      <c r="N309" s="128" t="s">
        <v>13</v>
      </c>
      <c r="O309" s="7" t="str">
        <f>IF(BudgetsTable[[#This Row],[pi_last_name]]=" ","",HYPERLINK("mailto:"&amp;BudgetsTable[[#This Row],[pi_email]]&amp;"&amp;subject=Your NSF Proposal:  "&amp;BudgetsTable[[#This Row],[prop_id]],BudgetsTable[[#This Row],[pi_email]]))</f>
        <v/>
      </c>
      <c r="P309" s="128" t="s">
        <v>13</v>
      </c>
      <c r="Q309" s="128">
        <v>5</v>
      </c>
      <c r="R309" s="128">
        <v>1.8</v>
      </c>
      <c r="S309" s="129">
        <v>0</v>
      </c>
      <c r="T309" s="129">
        <v>0</v>
      </c>
      <c r="U309" s="129">
        <v>0</v>
      </c>
      <c r="V309" s="130">
        <v>498696</v>
      </c>
      <c r="W309" s="128">
        <v>0</v>
      </c>
      <c r="X309" s="128">
        <v>1</v>
      </c>
      <c r="Y309" s="131" t="str">
        <f ca="1">IF(ISBLANK(BudgetsTable[[#This Row],[budg_seq_yr]]),"FY"&amp;fiscalyear,"FY"&amp;fiscalyear-1+BudgetsTable[[#This Row],[budg_seq_yr]])</f>
        <v>FY18</v>
      </c>
      <c r="Z309" s="129">
        <v>498696</v>
      </c>
      <c r="AA309" s="128" t="s">
        <v>741</v>
      </c>
      <c r="AB309" s="128" t="s">
        <v>901</v>
      </c>
      <c r="AC309" s="126" t="s">
        <v>94</v>
      </c>
      <c r="AD309" s="128" t="s">
        <v>1968</v>
      </c>
    </row>
    <row r="310" spans="1:30">
      <c r="A310" s="125" t="s">
        <v>1445</v>
      </c>
      <c r="B310" s="126" t="s">
        <v>96</v>
      </c>
      <c r="C310" s="126">
        <f>C309+(BudgetsTable[[#This Row],[lead]]&lt;&gt;K309)</f>
        <v>65</v>
      </c>
      <c r="D310" s="126">
        <f>D309*(BudgetsTable[[#This Row],[lead]]=K309)+(BudgetsTable[[#This Row],[prop_id]]&lt;&gt;A309)</f>
        <v>1</v>
      </c>
      <c r="E310" s="127">
        <v>42809.765972222223</v>
      </c>
      <c r="F310" s="128" t="s">
        <v>1965</v>
      </c>
      <c r="G310" s="128" t="s">
        <v>741</v>
      </c>
      <c r="H310" s="128" t="s">
        <v>901</v>
      </c>
      <c r="I310" s="126" t="s">
        <v>942</v>
      </c>
      <c r="J310" s="126" t="s">
        <v>13</v>
      </c>
      <c r="K310" s="128" t="s">
        <v>1445</v>
      </c>
      <c r="L310" s="7" t="str">
        <f>IF(BudgetsTable[[#This Row],[pi_last_name]]=" ","",HYPERLINK("https://www.ejacket.nsf.gov/ej/showProposal.do?Continue=Y&amp;ID="&amp;BudgetsTable[[#This Row],[prop_id]],BudgetsTable[[#This Row],[prop_id]]))</f>
        <v/>
      </c>
      <c r="M310" s="15" t="str">
        <f>IF(BudgetsTable[[#This Row],[pi_last_name]]=" ","",HYPERLINK("https://www.ejacket.nsf.gov/ej/processReviewAnalysis.do?dispatch=add&amp;uniqId="&amp;BudgetsTable[[#This Row],[prop_id]]&amp;PO_id,"&gt;ra"))</f>
        <v/>
      </c>
      <c r="N310" s="128" t="s">
        <v>13</v>
      </c>
      <c r="O310" s="7" t="str">
        <f>IF(BudgetsTable[[#This Row],[pi_last_name]]=" ","",HYPERLINK("mailto:"&amp;BudgetsTable[[#This Row],[pi_email]]&amp;"&amp;subject=Your NSF Proposal:  "&amp;BudgetsTable[[#This Row],[prop_id]],BudgetsTable[[#This Row],[pi_email]]))</f>
        <v/>
      </c>
      <c r="P310" s="128" t="s">
        <v>13</v>
      </c>
      <c r="Q310" s="128">
        <v>5</v>
      </c>
      <c r="R310" s="128">
        <v>1.5</v>
      </c>
      <c r="S310" s="129">
        <v>0</v>
      </c>
      <c r="T310" s="129">
        <v>0</v>
      </c>
      <c r="U310" s="129">
        <v>0</v>
      </c>
      <c r="V310" s="130">
        <v>498694</v>
      </c>
      <c r="W310" s="128">
        <v>0</v>
      </c>
      <c r="X310" s="128">
        <v>2</v>
      </c>
      <c r="Y310" s="131" t="str">
        <f ca="1">IF(ISBLANK(BudgetsTable[[#This Row],[budg_seq_yr]]),"FY"&amp;fiscalyear,"FY"&amp;fiscalyear-1+BudgetsTable[[#This Row],[budg_seq_yr]])</f>
        <v>FY19</v>
      </c>
      <c r="Z310" s="129">
        <v>498694</v>
      </c>
      <c r="AA310" s="128" t="s">
        <v>741</v>
      </c>
      <c r="AB310" s="128" t="s">
        <v>901</v>
      </c>
      <c r="AC310" s="126" t="s">
        <v>94</v>
      </c>
      <c r="AD310" s="128" t="s">
        <v>1968</v>
      </c>
    </row>
    <row r="311" spans="1:30">
      <c r="A311" s="125" t="s">
        <v>1445</v>
      </c>
      <c r="B311" s="126" t="s">
        <v>96</v>
      </c>
      <c r="C311" s="126">
        <f>C310+(BudgetsTable[[#This Row],[lead]]&lt;&gt;K310)</f>
        <v>65</v>
      </c>
      <c r="D311" s="126">
        <f>D310*(BudgetsTable[[#This Row],[lead]]=K310)+(BudgetsTable[[#This Row],[prop_id]]&lt;&gt;A310)</f>
        <v>1</v>
      </c>
      <c r="E311" s="127">
        <v>42809.765972222223</v>
      </c>
      <c r="F311" s="128" t="s">
        <v>1965</v>
      </c>
      <c r="G311" s="128" t="s">
        <v>741</v>
      </c>
      <c r="H311" s="128" t="s">
        <v>901</v>
      </c>
      <c r="I311" s="126" t="s">
        <v>942</v>
      </c>
      <c r="J311" s="126" t="s">
        <v>13</v>
      </c>
      <c r="K311" s="128" t="s">
        <v>1445</v>
      </c>
      <c r="L311" s="7" t="str">
        <f>IF(BudgetsTable[[#This Row],[pi_last_name]]=" ","",HYPERLINK("https://www.ejacket.nsf.gov/ej/showProposal.do?Continue=Y&amp;ID="&amp;BudgetsTable[[#This Row],[prop_id]],BudgetsTable[[#This Row],[prop_id]]))</f>
        <v/>
      </c>
      <c r="M311" s="15" t="str">
        <f>IF(BudgetsTable[[#This Row],[pi_last_name]]=" ","",HYPERLINK("https://www.ejacket.nsf.gov/ej/processReviewAnalysis.do?dispatch=add&amp;uniqId="&amp;BudgetsTable[[#This Row],[prop_id]]&amp;PO_id,"&gt;ra"))</f>
        <v/>
      </c>
      <c r="N311" s="128" t="s">
        <v>13</v>
      </c>
      <c r="O311" s="7" t="str">
        <f>IF(BudgetsTable[[#This Row],[pi_last_name]]=" ","",HYPERLINK("mailto:"&amp;BudgetsTable[[#This Row],[pi_email]]&amp;"&amp;subject=Your NSF Proposal:  "&amp;BudgetsTable[[#This Row],[prop_id]],BudgetsTable[[#This Row],[pi_email]]))</f>
        <v/>
      </c>
      <c r="P311" s="128" t="s">
        <v>13</v>
      </c>
      <c r="Q311" s="128">
        <v>5</v>
      </c>
      <c r="R311" s="128">
        <v>1.5</v>
      </c>
      <c r="S311" s="129">
        <v>0</v>
      </c>
      <c r="T311" s="129">
        <v>0</v>
      </c>
      <c r="U311" s="129">
        <v>31000</v>
      </c>
      <c r="V311" s="130">
        <v>499444</v>
      </c>
      <c r="W311" s="128">
        <v>0</v>
      </c>
      <c r="X311" s="128">
        <v>3</v>
      </c>
      <c r="Y311" s="131" t="str">
        <f ca="1">IF(ISBLANK(BudgetsTable[[#This Row],[budg_seq_yr]]),"FY"&amp;fiscalyear,"FY"&amp;fiscalyear-1+BudgetsTable[[#This Row],[budg_seq_yr]])</f>
        <v>FY20</v>
      </c>
      <c r="Z311" s="129">
        <v>499444</v>
      </c>
      <c r="AA311" s="128" t="s">
        <v>741</v>
      </c>
      <c r="AB311" s="128" t="s">
        <v>901</v>
      </c>
      <c r="AC311" s="126" t="s">
        <v>94</v>
      </c>
      <c r="AD311" s="128" t="s">
        <v>1968</v>
      </c>
    </row>
    <row r="312" spans="1:30">
      <c r="A312" s="125" t="s">
        <v>1450</v>
      </c>
      <c r="B312" s="126" t="s">
        <v>96</v>
      </c>
      <c r="C312" s="126">
        <f>C311+(BudgetsTable[[#This Row],[lead]]&lt;&gt;K311)</f>
        <v>66</v>
      </c>
      <c r="D312" s="126">
        <f>D311*(BudgetsTable[[#This Row],[lead]]=K311)+(BudgetsTable[[#This Row],[prop_id]]&lt;&gt;A311)</f>
        <v>1</v>
      </c>
      <c r="E312" s="127">
        <v>42809.783333333333</v>
      </c>
      <c r="F312" s="128" t="s">
        <v>1965</v>
      </c>
      <c r="G312" s="128" t="s">
        <v>741</v>
      </c>
      <c r="H312" s="128" t="s">
        <v>901</v>
      </c>
      <c r="I312" s="126" t="s">
        <v>942</v>
      </c>
      <c r="J312" s="126" t="s">
        <v>2324</v>
      </c>
      <c r="K312" s="128" t="s">
        <v>1450</v>
      </c>
      <c r="L312" s="7" t="str">
        <f>IF(BudgetsTable[[#This Row],[pi_last_name]]=" ","",HYPERLINK("https://www.ejacket.nsf.gov/ej/showProposal.do?Continue=Y&amp;ID="&amp;BudgetsTable[[#This Row],[prop_id]],BudgetsTable[[#This Row],[prop_id]]))</f>
        <v>1740854</v>
      </c>
      <c r="M312" s="15" t="str">
        <f>IF(BudgetsTable[[#This Row],[pi_last_name]]=" ","",HYPERLINK("https://www.ejacket.nsf.gov/ej/processReviewAnalysis.do?dispatch=add&amp;uniqId="&amp;BudgetsTable[[#This Row],[prop_id]]&amp;PO_id,"&gt;ra"))</f>
        <v>&gt;ra</v>
      </c>
      <c r="N312" s="128" t="s">
        <v>1451</v>
      </c>
      <c r="O312" s="7" t="str">
        <f>IF(BudgetsTable[[#This Row],[pi_last_name]]=" ","",HYPERLINK("mailto:"&amp;BudgetsTable[[#This Row],[pi_email]]&amp;"&amp;subject=Your NSF Proposal:  "&amp;BudgetsTable[[#This Row],[prop_id]],BudgetsTable[[#This Row],[pi_email]]))</f>
        <v>fuchang@uidaho.edu</v>
      </c>
      <c r="P312" s="128" t="s">
        <v>2322</v>
      </c>
      <c r="Q312" s="128"/>
      <c r="R312" s="128"/>
      <c r="S312" s="129"/>
      <c r="T312" s="129"/>
      <c r="U312" s="129"/>
      <c r="V312" s="130"/>
      <c r="W312" s="128">
        <v>0</v>
      </c>
      <c r="X312" s="128"/>
      <c r="Y312" s="131" t="str">
        <f ca="1">IF(ISBLANK(BudgetsTable[[#This Row],[budg_seq_yr]]),"FY"&amp;fiscalyear,"FY"&amp;fiscalyear-1+BudgetsTable[[#This Row],[budg_seq_yr]])</f>
        <v>FY18</v>
      </c>
      <c r="Z312" s="129">
        <v>1493022</v>
      </c>
      <c r="AA312" s="128" t="s">
        <v>741</v>
      </c>
      <c r="AB312" s="128" t="s">
        <v>901</v>
      </c>
      <c r="AC312" s="126" t="s">
        <v>94</v>
      </c>
      <c r="AD312" s="128" t="s">
        <v>1995</v>
      </c>
    </row>
    <row r="313" spans="1:30">
      <c r="A313" s="125" t="s">
        <v>1450</v>
      </c>
      <c r="B313" s="126" t="s">
        <v>96</v>
      </c>
      <c r="C313" s="126">
        <f>C312+(BudgetsTable[[#This Row],[lead]]&lt;&gt;K312)</f>
        <v>66</v>
      </c>
      <c r="D313" s="126">
        <f>D312*(BudgetsTable[[#This Row],[lead]]=K312)+(BudgetsTable[[#This Row],[prop_id]]&lt;&gt;A312)</f>
        <v>1</v>
      </c>
      <c r="E313" s="127">
        <v>42809.783333333333</v>
      </c>
      <c r="F313" s="128" t="s">
        <v>1965</v>
      </c>
      <c r="G313" s="128" t="s">
        <v>741</v>
      </c>
      <c r="H313" s="128" t="s">
        <v>901</v>
      </c>
      <c r="I313" s="126" t="s">
        <v>942</v>
      </c>
      <c r="J313" s="126" t="s">
        <v>13</v>
      </c>
      <c r="K313" s="128" t="s">
        <v>1450</v>
      </c>
      <c r="L313" s="7" t="str">
        <f>IF(BudgetsTable[[#This Row],[pi_last_name]]=" ","",HYPERLINK("https://www.ejacket.nsf.gov/ej/showProposal.do?Continue=Y&amp;ID="&amp;BudgetsTable[[#This Row],[prop_id]],BudgetsTable[[#This Row],[prop_id]]))</f>
        <v/>
      </c>
      <c r="M313" s="15" t="str">
        <f>IF(BudgetsTable[[#This Row],[pi_last_name]]=" ","",HYPERLINK("https://www.ejacket.nsf.gov/ej/processReviewAnalysis.do?dispatch=add&amp;uniqId="&amp;BudgetsTable[[#This Row],[prop_id]]&amp;PO_id,"&gt;ra"))</f>
        <v/>
      </c>
      <c r="N313" s="128" t="s">
        <v>13</v>
      </c>
      <c r="O313" s="7" t="str">
        <f>IF(BudgetsTable[[#This Row],[pi_last_name]]=" ","",HYPERLINK("mailto:"&amp;BudgetsTable[[#This Row],[pi_email]]&amp;"&amp;subject=Your NSF Proposal:  "&amp;BudgetsTable[[#This Row],[prop_id]],BudgetsTable[[#This Row],[pi_email]]))</f>
        <v/>
      </c>
      <c r="P313" s="128" t="s">
        <v>13</v>
      </c>
      <c r="Q313" s="128">
        <v>8</v>
      </c>
      <c r="R313" s="128">
        <v>0</v>
      </c>
      <c r="S313" s="129">
        <v>50000</v>
      </c>
      <c r="T313" s="129">
        <v>0</v>
      </c>
      <c r="U313" s="129">
        <v>0</v>
      </c>
      <c r="V313" s="130">
        <v>499797</v>
      </c>
      <c r="W313" s="128">
        <v>0</v>
      </c>
      <c r="X313" s="128">
        <v>1</v>
      </c>
      <c r="Y313" s="131" t="str">
        <f ca="1">IF(ISBLANK(BudgetsTable[[#This Row],[budg_seq_yr]]),"FY"&amp;fiscalyear,"FY"&amp;fiscalyear-1+BudgetsTable[[#This Row],[budg_seq_yr]])</f>
        <v>FY18</v>
      </c>
      <c r="Z313" s="129">
        <v>499797</v>
      </c>
      <c r="AA313" s="128" t="s">
        <v>741</v>
      </c>
      <c r="AB313" s="128" t="s">
        <v>901</v>
      </c>
      <c r="AC313" s="126" t="s">
        <v>94</v>
      </c>
      <c r="AD313" s="128" t="s">
        <v>1995</v>
      </c>
    </row>
    <row r="314" spans="1:30">
      <c r="A314" s="125" t="s">
        <v>1450</v>
      </c>
      <c r="B314" s="126" t="s">
        <v>96</v>
      </c>
      <c r="C314" s="126">
        <f>C313+(BudgetsTable[[#This Row],[lead]]&lt;&gt;K313)</f>
        <v>66</v>
      </c>
      <c r="D314" s="126">
        <f>D313*(BudgetsTable[[#This Row],[lead]]=K313)+(BudgetsTable[[#This Row],[prop_id]]&lt;&gt;A313)</f>
        <v>1</v>
      </c>
      <c r="E314" s="127">
        <v>42809.783333333333</v>
      </c>
      <c r="F314" s="128" t="s">
        <v>1965</v>
      </c>
      <c r="G314" s="128" t="s">
        <v>741</v>
      </c>
      <c r="H314" s="128" t="s">
        <v>901</v>
      </c>
      <c r="I314" s="126" t="s">
        <v>942</v>
      </c>
      <c r="J314" s="126" t="s">
        <v>13</v>
      </c>
      <c r="K314" s="128" t="s">
        <v>1450</v>
      </c>
      <c r="L314" s="7" t="str">
        <f>IF(BudgetsTable[[#This Row],[pi_last_name]]=" ","",HYPERLINK("https://www.ejacket.nsf.gov/ej/showProposal.do?Continue=Y&amp;ID="&amp;BudgetsTable[[#This Row],[prop_id]],BudgetsTable[[#This Row],[prop_id]]))</f>
        <v/>
      </c>
      <c r="M314" s="15" t="str">
        <f>IF(BudgetsTable[[#This Row],[pi_last_name]]=" ","",HYPERLINK("https://www.ejacket.nsf.gov/ej/processReviewAnalysis.do?dispatch=add&amp;uniqId="&amp;BudgetsTable[[#This Row],[prop_id]]&amp;PO_id,"&gt;ra"))</f>
        <v/>
      </c>
      <c r="N314" s="128" t="s">
        <v>13</v>
      </c>
      <c r="O314" s="7" t="str">
        <f>IF(BudgetsTable[[#This Row],[pi_last_name]]=" ","",HYPERLINK("mailto:"&amp;BudgetsTable[[#This Row],[pi_email]]&amp;"&amp;subject=Your NSF Proposal:  "&amp;BudgetsTable[[#This Row],[prop_id]],BudgetsTable[[#This Row],[pi_email]]))</f>
        <v/>
      </c>
      <c r="P314" s="128" t="s">
        <v>13</v>
      </c>
      <c r="Q314" s="128">
        <v>7</v>
      </c>
      <c r="R314" s="128">
        <v>0</v>
      </c>
      <c r="S314" s="129">
        <v>51500</v>
      </c>
      <c r="T314" s="129">
        <v>0</v>
      </c>
      <c r="U314" s="129">
        <v>0</v>
      </c>
      <c r="V314" s="130">
        <v>494119</v>
      </c>
      <c r="W314" s="128">
        <v>0</v>
      </c>
      <c r="X314" s="128">
        <v>2</v>
      </c>
      <c r="Y314" s="131" t="str">
        <f ca="1">IF(ISBLANK(BudgetsTable[[#This Row],[budg_seq_yr]]),"FY"&amp;fiscalyear,"FY"&amp;fiscalyear-1+BudgetsTable[[#This Row],[budg_seq_yr]])</f>
        <v>FY19</v>
      </c>
      <c r="Z314" s="129">
        <v>494119</v>
      </c>
      <c r="AA314" s="128" t="s">
        <v>741</v>
      </c>
      <c r="AB314" s="128" t="s">
        <v>901</v>
      </c>
      <c r="AC314" s="126" t="s">
        <v>94</v>
      </c>
      <c r="AD314" s="128" t="s">
        <v>1995</v>
      </c>
    </row>
    <row r="315" spans="1:30">
      <c r="A315" s="125" t="s">
        <v>1450</v>
      </c>
      <c r="B315" s="126" t="s">
        <v>96</v>
      </c>
      <c r="C315" s="126">
        <f>C314+(BudgetsTable[[#This Row],[lead]]&lt;&gt;K314)</f>
        <v>66</v>
      </c>
      <c r="D315" s="126">
        <f>D314*(BudgetsTable[[#This Row],[lead]]=K314)+(BudgetsTable[[#This Row],[prop_id]]&lt;&gt;A314)</f>
        <v>1</v>
      </c>
      <c r="E315" s="127">
        <v>42809.783333333333</v>
      </c>
      <c r="F315" s="128" t="s">
        <v>1965</v>
      </c>
      <c r="G315" s="128" t="s">
        <v>741</v>
      </c>
      <c r="H315" s="128" t="s">
        <v>901</v>
      </c>
      <c r="I315" s="126" t="s">
        <v>942</v>
      </c>
      <c r="J315" s="126" t="s">
        <v>13</v>
      </c>
      <c r="K315" s="128" t="s">
        <v>1450</v>
      </c>
      <c r="L315" s="7" t="str">
        <f>IF(BudgetsTable[[#This Row],[pi_last_name]]=" ","",HYPERLINK("https://www.ejacket.nsf.gov/ej/showProposal.do?Continue=Y&amp;ID="&amp;BudgetsTable[[#This Row],[prop_id]],BudgetsTable[[#This Row],[prop_id]]))</f>
        <v/>
      </c>
      <c r="M315" s="15" t="str">
        <f>IF(BudgetsTable[[#This Row],[pi_last_name]]=" ","",HYPERLINK("https://www.ejacket.nsf.gov/ej/processReviewAnalysis.do?dispatch=add&amp;uniqId="&amp;BudgetsTable[[#This Row],[prop_id]]&amp;PO_id,"&gt;ra"))</f>
        <v/>
      </c>
      <c r="N315" s="128" t="s">
        <v>13</v>
      </c>
      <c r="O315" s="7" t="str">
        <f>IF(BudgetsTable[[#This Row],[pi_last_name]]=" ","",HYPERLINK("mailto:"&amp;BudgetsTable[[#This Row],[pi_email]]&amp;"&amp;subject=Your NSF Proposal:  "&amp;BudgetsTable[[#This Row],[prop_id]],BudgetsTable[[#This Row],[pi_email]]))</f>
        <v/>
      </c>
      <c r="P315" s="128" t="s">
        <v>13</v>
      </c>
      <c r="Q315" s="128">
        <v>6</v>
      </c>
      <c r="R315" s="128">
        <v>0</v>
      </c>
      <c r="S315" s="129">
        <v>53045</v>
      </c>
      <c r="T315" s="129">
        <v>0</v>
      </c>
      <c r="U315" s="129">
        <v>0</v>
      </c>
      <c r="V315" s="130">
        <v>499106</v>
      </c>
      <c r="W315" s="128">
        <v>0</v>
      </c>
      <c r="X315" s="128">
        <v>3</v>
      </c>
      <c r="Y315" s="131" t="str">
        <f ca="1">IF(ISBLANK(BudgetsTable[[#This Row],[budg_seq_yr]]),"FY"&amp;fiscalyear,"FY"&amp;fiscalyear-1+BudgetsTable[[#This Row],[budg_seq_yr]])</f>
        <v>FY20</v>
      </c>
      <c r="Z315" s="129">
        <v>499106</v>
      </c>
      <c r="AA315" s="128" t="s">
        <v>741</v>
      </c>
      <c r="AB315" s="128" t="s">
        <v>901</v>
      </c>
      <c r="AC315" s="126" t="s">
        <v>94</v>
      </c>
      <c r="AD315" s="128" t="s">
        <v>1995</v>
      </c>
    </row>
    <row r="316" spans="1:30">
      <c r="A316" s="125" t="s">
        <v>1456</v>
      </c>
      <c r="B316" s="126" t="s">
        <v>96</v>
      </c>
      <c r="C316" s="126">
        <f>C315+(BudgetsTable[[#This Row],[lead]]&lt;&gt;K315)</f>
        <v>67</v>
      </c>
      <c r="D316" s="126">
        <f>D315*(BudgetsTable[[#This Row],[lead]]=K315)+(BudgetsTable[[#This Row],[prop_id]]&lt;&gt;A315)</f>
        <v>1</v>
      </c>
      <c r="E316" s="127">
        <v>42809.785416666666</v>
      </c>
      <c r="F316" s="128" t="s">
        <v>1965</v>
      </c>
      <c r="G316" s="128" t="s">
        <v>741</v>
      </c>
      <c r="H316" s="128" t="s">
        <v>901</v>
      </c>
      <c r="I316" s="126" t="s">
        <v>942</v>
      </c>
      <c r="J316" s="126" t="s">
        <v>2328</v>
      </c>
      <c r="K316" s="128" t="s">
        <v>1456</v>
      </c>
      <c r="L316" s="7" t="str">
        <f>IF(BudgetsTable[[#This Row],[pi_last_name]]=" ","",HYPERLINK("https://www.ejacket.nsf.gov/ej/showProposal.do?Continue=Y&amp;ID="&amp;BudgetsTable[[#This Row],[prop_id]],BudgetsTable[[#This Row],[prop_id]]))</f>
        <v>1740855</v>
      </c>
      <c r="M316" s="15" t="str">
        <f>IF(BudgetsTable[[#This Row],[pi_last_name]]=" ","",HYPERLINK("https://www.ejacket.nsf.gov/ej/processReviewAnalysis.do?dispatch=add&amp;uniqId="&amp;BudgetsTable[[#This Row],[prop_id]]&amp;PO_id,"&gt;ra"))</f>
        <v>&gt;ra</v>
      </c>
      <c r="N316" s="128" t="s">
        <v>1457</v>
      </c>
      <c r="O316" s="7" t="str">
        <f>IF(BudgetsTable[[#This Row],[pi_last_name]]=" ","",HYPERLINK("mailto:"&amp;BudgetsTable[[#This Row],[pi_email]]&amp;"&amp;subject=Your NSF Proposal:  "&amp;BudgetsTable[[#This Row],[prop_id]],BudgetsTable[[#This Row],[pi_email]]))</f>
        <v>mmahoney@icsi.berkeley.edu</v>
      </c>
      <c r="P316" s="128" t="s">
        <v>2325</v>
      </c>
      <c r="Q316" s="128"/>
      <c r="R316" s="128"/>
      <c r="S316" s="129"/>
      <c r="T316" s="129"/>
      <c r="U316" s="129"/>
      <c r="V316" s="130"/>
      <c r="W316" s="128">
        <v>1</v>
      </c>
      <c r="X316" s="128"/>
      <c r="Y316" s="131" t="str">
        <f ca="1">IF(ISBLANK(BudgetsTable[[#This Row],[budg_seq_yr]]),"FY"&amp;fiscalyear,"FY"&amp;fiscalyear-1+BudgetsTable[[#This Row],[budg_seq_yr]])</f>
        <v>FY18</v>
      </c>
      <c r="Z316" s="129">
        <v>1499999</v>
      </c>
      <c r="AA316" s="128" t="s">
        <v>741</v>
      </c>
      <c r="AB316" s="128" t="s">
        <v>901</v>
      </c>
      <c r="AC316" s="126" t="s">
        <v>94</v>
      </c>
      <c r="AD316" s="128" t="s">
        <v>1968</v>
      </c>
    </row>
    <row r="317" spans="1:30">
      <c r="A317" s="125" t="s">
        <v>1456</v>
      </c>
      <c r="B317" s="126" t="s">
        <v>96</v>
      </c>
      <c r="C317" s="126">
        <f>C316+(BudgetsTable[[#This Row],[lead]]&lt;&gt;K316)</f>
        <v>67</v>
      </c>
      <c r="D317" s="126">
        <f>D316*(BudgetsTable[[#This Row],[lead]]=K316)+(BudgetsTable[[#This Row],[prop_id]]&lt;&gt;A316)</f>
        <v>1</v>
      </c>
      <c r="E317" s="127">
        <v>42809.785416666666</v>
      </c>
      <c r="F317" s="128" t="s">
        <v>1965</v>
      </c>
      <c r="G317" s="128" t="s">
        <v>741</v>
      </c>
      <c r="H317" s="128" t="s">
        <v>901</v>
      </c>
      <c r="I317" s="126" t="s">
        <v>942</v>
      </c>
      <c r="J317" s="126" t="s">
        <v>13</v>
      </c>
      <c r="K317" s="128" t="s">
        <v>1456</v>
      </c>
      <c r="L317" s="7" t="str">
        <f>IF(BudgetsTable[[#This Row],[pi_last_name]]=" ","",HYPERLINK("https://www.ejacket.nsf.gov/ej/showProposal.do?Continue=Y&amp;ID="&amp;BudgetsTable[[#This Row],[prop_id]],BudgetsTable[[#This Row],[prop_id]]))</f>
        <v/>
      </c>
      <c r="M317" s="15" t="str">
        <f>IF(BudgetsTable[[#This Row],[pi_last_name]]=" ","",HYPERLINK("https://www.ejacket.nsf.gov/ej/processReviewAnalysis.do?dispatch=add&amp;uniqId="&amp;BudgetsTable[[#This Row],[prop_id]]&amp;PO_id,"&gt;ra"))</f>
        <v/>
      </c>
      <c r="N317" s="128" t="s">
        <v>13</v>
      </c>
      <c r="O317" s="7" t="str">
        <f>IF(BudgetsTable[[#This Row],[pi_last_name]]=" ","",HYPERLINK("mailto:"&amp;BudgetsTable[[#This Row],[pi_email]]&amp;"&amp;subject=Your NSF Proposal:  "&amp;BudgetsTable[[#This Row],[prop_id]],BudgetsTable[[#This Row],[pi_email]]))</f>
        <v/>
      </c>
      <c r="P317" s="128" t="s">
        <v>13</v>
      </c>
      <c r="Q317" s="128">
        <v>5</v>
      </c>
      <c r="R317" s="128">
        <v>2</v>
      </c>
      <c r="S317" s="129">
        <v>129133</v>
      </c>
      <c r="T317" s="129">
        <v>5000</v>
      </c>
      <c r="U317" s="129">
        <v>0</v>
      </c>
      <c r="V317" s="130">
        <v>499999</v>
      </c>
      <c r="W317" s="128">
        <v>1</v>
      </c>
      <c r="X317" s="128">
        <v>1</v>
      </c>
      <c r="Y317" s="131" t="str">
        <f ca="1">IF(ISBLANK(BudgetsTable[[#This Row],[budg_seq_yr]]),"FY"&amp;fiscalyear,"FY"&amp;fiscalyear-1+BudgetsTable[[#This Row],[budg_seq_yr]])</f>
        <v>FY18</v>
      </c>
      <c r="Z317" s="129">
        <v>499999</v>
      </c>
      <c r="AA317" s="128" t="s">
        <v>741</v>
      </c>
      <c r="AB317" s="128" t="s">
        <v>901</v>
      </c>
      <c r="AC317" s="126" t="s">
        <v>94</v>
      </c>
      <c r="AD317" s="128" t="s">
        <v>1968</v>
      </c>
    </row>
    <row r="318" spans="1:30">
      <c r="A318" s="125" t="s">
        <v>1456</v>
      </c>
      <c r="B318" s="126" t="s">
        <v>96</v>
      </c>
      <c r="C318" s="126">
        <f>C317+(BudgetsTable[[#This Row],[lead]]&lt;&gt;K317)</f>
        <v>67</v>
      </c>
      <c r="D318" s="126">
        <f>D317*(BudgetsTable[[#This Row],[lead]]=K317)+(BudgetsTable[[#This Row],[prop_id]]&lt;&gt;A317)</f>
        <v>1</v>
      </c>
      <c r="E318" s="127">
        <v>42809.785416666666</v>
      </c>
      <c r="F318" s="128" t="s">
        <v>1965</v>
      </c>
      <c r="G318" s="128" t="s">
        <v>741</v>
      </c>
      <c r="H318" s="128" t="s">
        <v>901</v>
      </c>
      <c r="I318" s="126" t="s">
        <v>942</v>
      </c>
      <c r="J318" s="126" t="s">
        <v>13</v>
      </c>
      <c r="K318" s="128" t="s">
        <v>1456</v>
      </c>
      <c r="L318" s="7" t="str">
        <f>IF(BudgetsTable[[#This Row],[pi_last_name]]=" ","",HYPERLINK("https://www.ejacket.nsf.gov/ej/showProposal.do?Continue=Y&amp;ID="&amp;BudgetsTable[[#This Row],[prop_id]],BudgetsTable[[#This Row],[prop_id]]))</f>
        <v/>
      </c>
      <c r="M318" s="15" t="str">
        <f>IF(BudgetsTable[[#This Row],[pi_last_name]]=" ","",HYPERLINK("https://www.ejacket.nsf.gov/ej/processReviewAnalysis.do?dispatch=add&amp;uniqId="&amp;BudgetsTable[[#This Row],[prop_id]]&amp;PO_id,"&gt;ra"))</f>
        <v/>
      </c>
      <c r="N318" s="128" t="s">
        <v>13</v>
      </c>
      <c r="O318" s="7" t="str">
        <f>IF(BudgetsTable[[#This Row],[pi_last_name]]=" ","",HYPERLINK("mailto:"&amp;BudgetsTable[[#This Row],[pi_email]]&amp;"&amp;subject=Your NSF Proposal:  "&amp;BudgetsTable[[#This Row],[prop_id]],BudgetsTable[[#This Row],[pi_email]]))</f>
        <v/>
      </c>
      <c r="P318" s="128" t="s">
        <v>13</v>
      </c>
      <c r="Q318" s="128">
        <v>5</v>
      </c>
      <c r="R318" s="128">
        <v>2</v>
      </c>
      <c r="S318" s="129">
        <v>125029</v>
      </c>
      <c r="T318" s="129">
        <v>5000</v>
      </c>
      <c r="U318" s="129">
        <v>0</v>
      </c>
      <c r="V318" s="130">
        <v>500000</v>
      </c>
      <c r="W318" s="128">
        <v>1</v>
      </c>
      <c r="X318" s="128">
        <v>2</v>
      </c>
      <c r="Y318" s="131" t="str">
        <f ca="1">IF(ISBLANK(BudgetsTable[[#This Row],[budg_seq_yr]]),"FY"&amp;fiscalyear,"FY"&amp;fiscalyear-1+BudgetsTable[[#This Row],[budg_seq_yr]])</f>
        <v>FY19</v>
      </c>
      <c r="Z318" s="129">
        <v>500000</v>
      </c>
      <c r="AA318" s="128" t="s">
        <v>741</v>
      </c>
      <c r="AB318" s="128" t="s">
        <v>901</v>
      </c>
      <c r="AC318" s="126" t="s">
        <v>94</v>
      </c>
      <c r="AD318" s="128" t="s">
        <v>1968</v>
      </c>
    </row>
    <row r="319" spans="1:30">
      <c r="A319" s="125" t="s">
        <v>1456</v>
      </c>
      <c r="B319" s="126" t="s">
        <v>96</v>
      </c>
      <c r="C319" s="126">
        <f>C318+(BudgetsTable[[#This Row],[lead]]&lt;&gt;K318)</f>
        <v>67</v>
      </c>
      <c r="D319" s="126">
        <f>D318*(BudgetsTable[[#This Row],[lead]]=K318)+(BudgetsTable[[#This Row],[prop_id]]&lt;&gt;A318)</f>
        <v>1</v>
      </c>
      <c r="E319" s="127">
        <v>42809.785416666666</v>
      </c>
      <c r="F319" s="128" t="s">
        <v>1965</v>
      </c>
      <c r="G319" s="128" t="s">
        <v>741</v>
      </c>
      <c r="H319" s="128" t="s">
        <v>901</v>
      </c>
      <c r="I319" s="126" t="s">
        <v>942</v>
      </c>
      <c r="J319" s="126" t="s">
        <v>13</v>
      </c>
      <c r="K319" s="128" t="s">
        <v>1456</v>
      </c>
      <c r="L319" s="7" t="str">
        <f>IF(BudgetsTable[[#This Row],[pi_last_name]]=" ","",HYPERLINK("https://www.ejacket.nsf.gov/ej/showProposal.do?Continue=Y&amp;ID="&amp;BudgetsTable[[#This Row],[prop_id]],BudgetsTable[[#This Row],[prop_id]]))</f>
        <v/>
      </c>
      <c r="M319" s="15" t="str">
        <f>IF(BudgetsTable[[#This Row],[pi_last_name]]=" ","",HYPERLINK("https://www.ejacket.nsf.gov/ej/processReviewAnalysis.do?dispatch=add&amp;uniqId="&amp;BudgetsTable[[#This Row],[prop_id]]&amp;PO_id,"&gt;ra"))</f>
        <v/>
      </c>
      <c r="N319" s="128" t="s">
        <v>13</v>
      </c>
      <c r="O319" s="7" t="str">
        <f>IF(BudgetsTable[[#This Row],[pi_last_name]]=" ","",HYPERLINK("mailto:"&amp;BudgetsTable[[#This Row],[pi_email]]&amp;"&amp;subject=Your NSF Proposal:  "&amp;BudgetsTable[[#This Row],[prop_id]],BudgetsTable[[#This Row],[pi_email]]))</f>
        <v/>
      </c>
      <c r="P319" s="128" t="s">
        <v>13</v>
      </c>
      <c r="Q319" s="128">
        <v>5</v>
      </c>
      <c r="R319" s="128">
        <v>2</v>
      </c>
      <c r="S319" s="129">
        <v>124585</v>
      </c>
      <c r="T319" s="129">
        <v>5000</v>
      </c>
      <c r="U319" s="129">
        <v>0</v>
      </c>
      <c r="V319" s="130">
        <v>500000</v>
      </c>
      <c r="W319" s="128">
        <v>1</v>
      </c>
      <c r="X319" s="128">
        <v>3</v>
      </c>
      <c r="Y319" s="131" t="str">
        <f ca="1">IF(ISBLANK(BudgetsTable[[#This Row],[budg_seq_yr]]),"FY"&amp;fiscalyear,"FY"&amp;fiscalyear-1+BudgetsTable[[#This Row],[budg_seq_yr]])</f>
        <v>FY20</v>
      </c>
      <c r="Z319" s="129">
        <v>500000</v>
      </c>
      <c r="AA319" s="128" t="s">
        <v>741</v>
      </c>
      <c r="AB319" s="128" t="s">
        <v>901</v>
      </c>
      <c r="AC319" s="126" t="s">
        <v>94</v>
      </c>
      <c r="AD319" s="128" t="s">
        <v>1968</v>
      </c>
    </row>
    <row r="320" spans="1:30">
      <c r="A320" s="125" t="s">
        <v>1465</v>
      </c>
      <c r="B320" s="126" t="s">
        <v>96</v>
      </c>
      <c r="C320" s="126">
        <f>C319+(BudgetsTable[[#This Row],[lead]]&lt;&gt;K319)</f>
        <v>68</v>
      </c>
      <c r="D320" s="126">
        <f>D319*(BudgetsTable[[#This Row],[lead]]=K319)+(BudgetsTable[[#This Row],[prop_id]]&lt;&gt;A319)</f>
        <v>1</v>
      </c>
      <c r="E320" s="127">
        <v>42809.806944444441</v>
      </c>
      <c r="F320" s="128" t="s">
        <v>1965</v>
      </c>
      <c r="G320" s="128" t="s">
        <v>741</v>
      </c>
      <c r="H320" s="128" t="s">
        <v>901</v>
      </c>
      <c r="I320" s="126" t="s">
        <v>543</v>
      </c>
      <c r="J320" s="126" t="s">
        <v>2333</v>
      </c>
      <c r="K320" s="128" t="s">
        <v>1465</v>
      </c>
      <c r="L320" s="7" t="str">
        <f>IF(BudgetsTable[[#This Row],[pi_last_name]]=" ","",HYPERLINK("https://www.ejacket.nsf.gov/ej/showProposal.do?Continue=Y&amp;ID="&amp;BudgetsTable[[#This Row],[prop_id]],BudgetsTable[[#This Row],[prop_id]]))</f>
        <v>1740858</v>
      </c>
      <c r="M320" s="15" t="str">
        <f>IF(BudgetsTable[[#This Row],[pi_last_name]]=" ","",HYPERLINK("https://www.ejacket.nsf.gov/ej/processReviewAnalysis.do?dispatch=add&amp;uniqId="&amp;BudgetsTable[[#This Row],[prop_id]]&amp;PO_id,"&gt;ra"))</f>
        <v>&gt;ra</v>
      </c>
      <c r="N320" s="128" t="s">
        <v>1019</v>
      </c>
      <c r="O320" s="7" t="str">
        <f>IF(BudgetsTable[[#This Row],[pi_last_name]]=" ","",HYPERLINK("mailto:"&amp;BudgetsTable[[#This Row],[pi_email]]&amp;"&amp;subject=Your NSF Proposal:  "&amp;BudgetsTable[[#This Row],[prop_id]],BudgetsTable[[#This Row],[pi_email]]))</f>
        <v>hzhang@math.arizona.edu</v>
      </c>
      <c r="P320" s="128" t="s">
        <v>2331</v>
      </c>
      <c r="Q320" s="128"/>
      <c r="R320" s="128"/>
      <c r="S320" s="129"/>
      <c r="T320" s="129"/>
      <c r="U320" s="129"/>
      <c r="V320" s="130"/>
      <c r="W320" s="128">
        <v>1</v>
      </c>
      <c r="X320" s="128"/>
      <c r="Y320" s="131" t="str">
        <f ca="1">IF(ISBLANK(BudgetsTable[[#This Row],[budg_seq_yr]]),"FY"&amp;fiscalyear,"FY"&amp;fiscalyear-1+BudgetsTable[[#This Row],[budg_seq_yr]])</f>
        <v>FY18</v>
      </c>
      <c r="Z320" s="129">
        <v>1368498</v>
      </c>
      <c r="AA320" s="128" t="s">
        <v>741</v>
      </c>
      <c r="AB320" s="128" t="s">
        <v>901</v>
      </c>
      <c r="AC320" s="126" t="s">
        <v>94</v>
      </c>
      <c r="AD320" s="128" t="s">
        <v>1968</v>
      </c>
    </row>
    <row r="321" spans="1:30">
      <c r="A321" s="125" t="s">
        <v>1465</v>
      </c>
      <c r="B321" s="126" t="s">
        <v>96</v>
      </c>
      <c r="C321" s="126">
        <f>C320+(BudgetsTable[[#This Row],[lead]]&lt;&gt;K320)</f>
        <v>68</v>
      </c>
      <c r="D321" s="126">
        <f>D320*(BudgetsTable[[#This Row],[lead]]=K320)+(BudgetsTable[[#This Row],[prop_id]]&lt;&gt;A320)</f>
        <v>1</v>
      </c>
      <c r="E321" s="127">
        <v>42809.806944444441</v>
      </c>
      <c r="F321" s="128" t="s">
        <v>1965</v>
      </c>
      <c r="G321" s="128" t="s">
        <v>741</v>
      </c>
      <c r="H321" s="128" t="s">
        <v>901</v>
      </c>
      <c r="I321" s="126" t="s">
        <v>543</v>
      </c>
      <c r="J321" s="126" t="s">
        <v>13</v>
      </c>
      <c r="K321" s="128" t="s">
        <v>1465</v>
      </c>
      <c r="L321" s="7" t="str">
        <f>IF(BudgetsTable[[#This Row],[pi_last_name]]=" ","",HYPERLINK("https://www.ejacket.nsf.gov/ej/showProposal.do?Continue=Y&amp;ID="&amp;BudgetsTable[[#This Row],[prop_id]],BudgetsTable[[#This Row],[prop_id]]))</f>
        <v/>
      </c>
      <c r="M321" s="15" t="str">
        <f>IF(BudgetsTable[[#This Row],[pi_last_name]]=" ","",HYPERLINK("https://www.ejacket.nsf.gov/ej/processReviewAnalysis.do?dispatch=add&amp;uniqId="&amp;BudgetsTable[[#This Row],[prop_id]]&amp;PO_id,"&gt;ra"))</f>
        <v/>
      </c>
      <c r="N321" s="128" t="s">
        <v>13</v>
      </c>
      <c r="O321" s="7" t="str">
        <f>IF(BudgetsTable[[#This Row],[pi_last_name]]=" ","",HYPERLINK("mailto:"&amp;BudgetsTable[[#This Row],[pi_email]]&amp;"&amp;subject=Your NSF Proposal:  "&amp;BudgetsTable[[#This Row],[prop_id]],BudgetsTable[[#This Row],[pi_email]]))</f>
        <v/>
      </c>
      <c r="P321" s="128" t="s">
        <v>13</v>
      </c>
      <c r="Q321" s="128">
        <v>8</v>
      </c>
      <c r="R321" s="128">
        <v>2</v>
      </c>
      <c r="S321" s="129">
        <v>32500</v>
      </c>
      <c r="T321" s="129">
        <v>0</v>
      </c>
      <c r="U321" s="129">
        <v>44676</v>
      </c>
      <c r="V321" s="130">
        <v>368500</v>
      </c>
      <c r="W321" s="128">
        <v>1</v>
      </c>
      <c r="X321" s="128">
        <v>1</v>
      </c>
      <c r="Y321" s="131" t="str">
        <f ca="1">IF(ISBLANK(BudgetsTable[[#This Row],[budg_seq_yr]]),"FY"&amp;fiscalyear,"FY"&amp;fiscalyear-1+BudgetsTable[[#This Row],[budg_seq_yr]])</f>
        <v>FY18</v>
      </c>
      <c r="Z321" s="129">
        <v>368500</v>
      </c>
      <c r="AA321" s="128" t="s">
        <v>741</v>
      </c>
      <c r="AB321" s="128" t="s">
        <v>901</v>
      </c>
      <c r="AC321" s="126" t="s">
        <v>94</v>
      </c>
      <c r="AD321" s="128" t="s">
        <v>1968</v>
      </c>
    </row>
    <row r="322" spans="1:30">
      <c r="A322" s="125" t="s">
        <v>1465</v>
      </c>
      <c r="B322" s="126" t="s">
        <v>96</v>
      </c>
      <c r="C322" s="126">
        <f>C321+(BudgetsTable[[#This Row],[lead]]&lt;&gt;K321)</f>
        <v>68</v>
      </c>
      <c r="D322" s="126">
        <f>D321*(BudgetsTable[[#This Row],[lead]]=K321)+(BudgetsTable[[#This Row],[prop_id]]&lt;&gt;A321)</f>
        <v>1</v>
      </c>
      <c r="E322" s="127">
        <v>42809.806944444441</v>
      </c>
      <c r="F322" s="128" t="s">
        <v>1965</v>
      </c>
      <c r="G322" s="128" t="s">
        <v>741</v>
      </c>
      <c r="H322" s="128" t="s">
        <v>901</v>
      </c>
      <c r="I322" s="126" t="s">
        <v>543</v>
      </c>
      <c r="J322" s="126" t="s">
        <v>13</v>
      </c>
      <c r="K322" s="128" t="s">
        <v>1465</v>
      </c>
      <c r="L322" s="7" t="str">
        <f>IF(BudgetsTable[[#This Row],[pi_last_name]]=" ","",HYPERLINK("https://www.ejacket.nsf.gov/ej/showProposal.do?Continue=Y&amp;ID="&amp;BudgetsTable[[#This Row],[prop_id]],BudgetsTable[[#This Row],[prop_id]]))</f>
        <v/>
      </c>
      <c r="M322" s="15" t="str">
        <f>IF(BudgetsTable[[#This Row],[pi_last_name]]=" ","",HYPERLINK("https://www.ejacket.nsf.gov/ej/processReviewAnalysis.do?dispatch=add&amp;uniqId="&amp;BudgetsTable[[#This Row],[prop_id]]&amp;PO_id,"&gt;ra"))</f>
        <v/>
      </c>
      <c r="N322" s="128" t="s">
        <v>13</v>
      </c>
      <c r="O322" s="7" t="str">
        <f>IF(BudgetsTable[[#This Row],[pi_last_name]]=" ","",HYPERLINK("mailto:"&amp;BudgetsTable[[#This Row],[pi_email]]&amp;"&amp;subject=Your NSF Proposal:  "&amp;BudgetsTable[[#This Row],[prop_id]],BudgetsTable[[#This Row],[pi_email]]))</f>
        <v/>
      </c>
      <c r="P322" s="128" t="s">
        <v>13</v>
      </c>
      <c r="Q322" s="128">
        <v>8</v>
      </c>
      <c r="R322" s="128">
        <v>2</v>
      </c>
      <c r="S322" s="129">
        <v>66950</v>
      </c>
      <c r="T322" s="129">
        <v>0</v>
      </c>
      <c r="U322" s="129">
        <v>45092</v>
      </c>
      <c r="V322" s="130">
        <v>499999</v>
      </c>
      <c r="W322" s="128">
        <v>1</v>
      </c>
      <c r="X322" s="128">
        <v>2</v>
      </c>
      <c r="Y322" s="131" t="str">
        <f ca="1">IF(ISBLANK(BudgetsTable[[#This Row],[budg_seq_yr]]),"FY"&amp;fiscalyear,"FY"&amp;fiscalyear-1+BudgetsTable[[#This Row],[budg_seq_yr]])</f>
        <v>FY19</v>
      </c>
      <c r="Z322" s="129">
        <v>499999</v>
      </c>
      <c r="AA322" s="128" t="s">
        <v>741</v>
      </c>
      <c r="AB322" s="128" t="s">
        <v>901</v>
      </c>
      <c r="AC322" s="126" t="s">
        <v>94</v>
      </c>
      <c r="AD322" s="128" t="s">
        <v>1968</v>
      </c>
    </row>
    <row r="323" spans="1:30">
      <c r="A323" s="125" t="s">
        <v>1465</v>
      </c>
      <c r="B323" s="126" t="s">
        <v>96</v>
      </c>
      <c r="C323" s="126">
        <f>C322+(BudgetsTable[[#This Row],[lead]]&lt;&gt;K322)</f>
        <v>68</v>
      </c>
      <c r="D323" s="126">
        <f>D322*(BudgetsTable[[#This Row],[lead]]=K322)+(BudgetsTable[[#This Row],[prop_id]]&lt;&gt;A322)</f>
        <v>1</v>
      </c>
      <c r="E323" s="127">
        <v>42809.806944444441</v>
      </c>
      <c r="F323" s="128" t="s">
        <v>1965</v>
      </c>
      <c r="G323" s="128" t="s">
        <v>741</v>
      </c>
      <c r="H323" s="128" t="s">
        <v>901</v>
      </c>
      <c r="I323" s="126" t="s">
        <v>543</v>
      </c>
      <c r="J323" s="126" t="s">
        <v>13</v>
      </c>
      <c r="K323" s="128" t="s">
        <v>1465</v>
      </c>
      <c r="L323" s="7" t="str">
        <f>IF(BudgetsTable[[#This Row],[pi_last_name]]=" ","",HYPERLINK("https://www.ejacket.nsf.gov/ej/showProposal.do?Continue=Y&amp;ID="&amp;BudgetsTable[[#This Row],[prop_id]],BudgetsTable[[#This Row],[prop_id]]))</f>
        <v/>
      </c>
      <c r="M323" s="15" t="str">
        <f>IF(BudgetsTable[[#This Row],[pi_last_name]]=" ","",HYPERLINK("https://www.ejacket.nsf.gov/ej/processReviewAnalysis.do?dispatch=add&amp;uniqId="&amp;BudgetsTable[[#This Row],[prop_id]]&amp;PO_id,"&gt;ra"))</f>
        <v/>
      </c>
      <c r="N323" s="128" t="s">
        <v>13</v>
      </c>
      <c r="O323" s="7" t="str">
        <f>IF(BudgetsTable[[#This Row],[pi_last_name]]=" ","",HYPERLINK("mailto:"&amp;BudgetsTable[[#This Row],[pi_email]]&amp;"&amp;subject=Your NSF Proposal:  "&amp;BudgetsTable[[#This Row],[prop_id]],BudgetsTable[[#This Row],[pi_email]]))</f>
        <v/>
      </c>
      <c r="P323" s="128" t="s">
        <v>13</v>
      </c>
      <c r="Q323" s="128">
        <v>8</v>
      </c>
      <c r="R323" s="128">
        <v>2</v>
      </c>
      <c r="S323" s="129">
        <v>68959</v>
      </c>
      <c r="T323" s="129">
        <v>0</v>
      </c>
      <c r="U323" s="129">
        <v>45520</v>
      </c>
      <c r="V323" s="130">
        <v>499999</v>
      </c>
      <c r="W323" s="128">
        <v>1</v>
      </c>
      <c r="X323" s="128">
        <v>3</v>
      </c>
      <c r="Y323" s="131" t="str">
        <f ca="1">IF(ISBLANK(BudgetsTable[[#This Row],[budg_seq_yr]]),"FY"&amp;fiscalyear,"FY"&amp;fiscalyear-1+BudgetsTable[[#This Row],[budg_seq_yr]])</f>
        <v>FY20</v>
      </c>
      <c r="Z323" s="129">
        <v>499999</v>
      </c>
      <c r="AA323" s="128" t="s">
        <v>741</v>
      </c>
      <c r="AB323" s="128" t="s">
        <v>901</v>
      </c>
      <c r="AC323" s="126" t="s">
        <v>94</v>
      </c>
      <c r="AD323" s="128" t="s">
        <v>1968</v>
      </c>
    </row>
    <row r="324" spans="1:30">
      <c r="A324" s="125" t="s">
        <v>1474</v>
      </c>
      <c r="B324" s="126" t="s">
        <v>96</v>
      </c>
      <c r="C324" s="126">
        <f>C323+(BudgetsTable[[#This Row],[lead]]&lt;&gt;K323)</f>
        <v>69</v>
      </c>
      <c r="D324" s="126">
        <f>D323*(BudgetsTable[[#This Row],[lead]]=K323)+(BudgetsTable[[#This Row],[prop_id]]&lt;&gt;A323)</f>
        <v>1</v>
      </c>
      <c r="E324" s="127">
        <v>42809.811805555553</v>
      </c>
      <c r="F324" s="128" t="s">
        <v>1965</v>
      </c>
      <c r="G324" s="128" t="s">
        <v>741</v>
      </c>
      <c r="H324" s="128" t="s">
        <v>901</v>
      </c>
      <c r="I324" s="126" t="s">
        <v>942</v>
      </c>
      <c r="J324" s="126" t="s">
        <v>2337</v>
      </c>
      <c r="K324" s="128" t="s">
        <v>1474</v>
      </c>
      <c r="L324" s="7" t="str">
        <f>IF(BudgetsTable[[#This Row],[pi_last_name]]=" ","",HYPERLINK("https://www.ejacket.nsf.gov/ej/showProposal.do?Continue=Y&amp;ID="&amp;BudgetsTable[[#This Row],[prop_id]],BudgetsTable[[#This Row],[prop_id]]))</f>
        <v>1740859</v>
      </c>
      <c r="M324" s="15" t="str">
        <f>IF(BudgetsTable[[#This Row],[pi_last_name]]=" ","",HYPERLINK("https://www.ejacket.nsf.gov/ej/processReviewAnalysis.do?dispatch=add&amp;uniqId="&amp;BudgetsTable[[#This Row],[prop_id]]&amp;PO_id,"&gt;ra"))</f>
        <v>&gt;ra</v>
      </c>
      <c r="N324" s="128" t="s">
        <v>1475</v>
      </c>
      <c r="O324" s="7" t="str">
        <f>IF(BudgetsTable[[#This Row],[pi_last_name]]=" ","",HYPERLINK("mailto:"&amp;BudgetsTable[[#This Row],[pi_email]]&amp;"&amp;subject=Your NSF Proposal:  "&amp;BudgetsTable[[#This Row],[prop_id]],BudgetsTable[[#This Row],[pi_email]]))</f>
        <v>jdwilson4@usfca.edu</v>
      </c>
      <c r="P324" s="128" t="s">
        <v>2335</v>
      </c>
      <c r="Q324" s="128"/>
      <c r="R324" s="128"/>
      <c r="S324" s="129"/>
      <c r="T324" s="129"/>
      <c r="U324" s="129"/>
      <c r="V324" s="130"/>
      <c r="W324" s="128">
        <v>0</v>
      </c>
      <c r="X324" s="128"/>
      <c r="Y324" s="131" t="str">
        <f ca="1">IF(ISBLANK(BudgetsTable[[#This Row],[budg_seq_yr]]),"FY"&amp;fiscalyear,"FY"&amp;fiscalyear-1+BudgetsTable[[#This Row],[budg_seq_yr]])</f>
        <v>FY18</v>
      </c>
      <c r="Z324" s="129">
        <v>1371814</v>
      </c>
      <c r="AA324" s="128" t="s">
        <v>741</v>
      </c>
      <c r="AB324" s="128" t="s">
        <v>901</v>
      </c>
      <c r="AC324" s="126" t="s">
        <v>94</v>
      </c>
      <c r="AD324" s="128" t="s">
        <v>1968</v>
      </c>
    </row>
    <row r="325" spans="1:30">
      <c r="A325" s="125" t="s">
        <v>1474</v>
      </c>
      <c r="B325" s="126" t="s">
        <v>96</v>
      </c>
      <c r="C325" s="126">
        <f>C324+(BudgetsTable[[#This Row],[lead]]&lt;&gt;K324)</f>
        <v>69</v>
      </c>
      <c r="D325" s="126">
        <f>D324*(BudgetsTable[[#This Row],[lead]]=K324)+(BudgetsTable[[#This Row],[prop_id]]&lt;&gt;A324)</f>
        <v>1</v>
      </c>
      <c r="E325" s="127">
        <v>42809.811805555553</v>
      </c>
      <c r="F325" s="128" t="s">
        <v>1965</v>
      </c>
      <c r="G325" s="128" t="s">
        <v>741</v>
      </c>
      <c r="H325" s="128" t="s">
        <v>901</v>
      </c>
      <c r="I325" s="126" t="s">
        <v>942</v>
      </c>
      <c r="J325" s="126" t="s">
        <v>13</v>
      </c>
      <c r="K325" s="128" t="s">
        <v>1474</v>
      </c>
      <c r="L325" s="7" t="str">
        <f>IF(BudgetsTable[[#This Row],[pi_last_name]]=" ","",HYPERLINK("https://www.ejacket.nsf.gov/ej/showProposal.do?Continue=Y&amp;ID="&amp;BudgetsTable[[#This Row],[prop_id]],BudgetsTable[[#This Row],[prop_id]]))</f>
        <v/>
      </c>
      <c r="M325" s="15" t="str">
        <f>IF(BudgetsTable[[#This Row],[pi_last_name]]=" ","",HYPERLINK("https://www.ejacket.nsf.gov/ej/processReviewAnalysis.do?dispatch=add&amp;uniqId="&amp;BudgetsTable[[#This Row],[prop_id]]&amp;PO_id,"&gt;ra"))</f>
        <v/>
      </c>
      <c r="N325" s="128" t="s">
        <v>13</v>
      </c>
      <c r="O325" s="7" t="str">
        <f>IF(BudgetsTable[[#This Row],[pi_last_name]]=" ","",HYPERLINK("mailto:"&amp;BudgetsTable[[#This Row],[pi_email]]&amp;"&amp;subject=Your NSF Proposal:  "&amp;BudgetsTable[[#This Row],[prop_id]],BudgetsTable[[#This Row],[pi_email]]))</f>
        <v/>
      </c>
      <c r="P325" s="128" t="s">
        <v>13</v>
      </c>
      <c r="Q325" s="128">
        <v>3</v>
      </c>
      <c r="R325" s="128">
        <v>4</v>
      </c>
      <c r="S325" s="129">
        <v>60000</v>
      </c>
      <c r="T325" s="129">
        <v>0</v>
      </c>
      <c r="U325" s="129">
        <v>46000</v>
      </c>
      <c r="V325" s="130">
        <v>427316</v>
      </c>
      <c r="W325" s="128">
        <v>0</v>
      </c>
      <c r="X325" s="128">
        <v>1</v>
      </c>
      <c r="Y325" s="131" t="str">
        <f ca="1">IF(ISBLANK(BudgetsTable[[#This Row],[budg_seq_yr]]),"FY"&amp;fiscalyear,"FY"&amp;fiscalyear-1+BudgetsTable[[#This Row],[budg_seq_yr]])</f>
        <v>FY18</v>
      </c>
      <c r="Z325" s="129">
        <v>427316</v>
      </c>
      <c r="AA325" s="128" t="s">
        <v>741</v>
      </c>
      <c r="AB325" s="128" t="s">
        <v>901</v>
      </c>
      <c r="AC325" s="126" t="s">
        <v>94</v>
      </c>
      <c r="AD325" s="128" t="s">
        <v>1968</v>
      </c>
    </row>
    <row r="326" spans="1:30">
      <c r="A326" s="125" t="s">
        <v>1474</v>
      </c>
      <c r="B326" s="126" t="s">
        <v>96</v>
      </c>
      <c r="C326" s="126">
        <f>C325+(BudgetsTable[[#This Row],[lead]]&lt;&gt;K325)</f>
        <v>69</v>
      </c>
      <c r="D326" s="126">
        <f>D325*(BudgetsTable[[#This Row],[lead]]=K325)+(BudgetsTable[[#This Row],[prop_id]]&lt;&gt;A325)</f>
        <v>1</v>
      </c>
      <c r="E326" s="127">
        <v>42809.811805555553</v>
      </c>
      <c r="F326" s="128" t="s">
        <v>1965</v>
      </c>
      <c r="G326" s="128" t="s">
        <v>741</v>
      </c>
      <c r="H326" s="128" t="s">
        <v>901</v>
      </c>
      <c r="I326" s="126" t="s">
        <v>942</v>
      </c>
      <c r="J326" s="126" t="s">
        <v>13</v>
      </c>
      <c r="K326" s="128" t="s">
        <v>1474</v>
      </c>
      <c r="L326" s="7" t="str">
        <f>IF(BudgetsTable[[#This Row],[pi_last_name]]=" ","",HYPERLINK("https://www.ejacket.nsf.gov/ej/showProposal.do?Continue=Y&amp;ID="&amp;BudgetsTable[[#This Row],[prop_id]],BudgetsTable[[#This Row],[prop_id]]))</f>
        <v/>
      </c>
      <c r="M326" s="15" t="str">
        <f>IF(BudgetsTable[[#This Row],[pi_last_name]]=" ","",HYPERLINK("https://www.ejacket.nsf.gov/ej/processReviewAnalysis.do?dispatch=add&amp;uniqId="&amp;BudgetsTable[[#This Row],[prop_id]]&amp;PO_id,"&gt;ra"))</f>
        <v/>
      </c>
      <c r="N326" s="128" t="s">
        <v>13</v>
      </c>
      <c r="O326" s="7" t="str">
        <f>IF(BudgetsTable[[#This Row],[pi_last_name]]=" ","",HYPERLINK("mailto:"&amp;BudgetsTable[[#This Row],[pi_email]]&amp;"&amp;subject=Your NSF Proposal:  "&amp;BudgetsTable[[#This Row],[prop_id]],BudgetsTable[[#This Row],[pi_email]]))</f>
        <v/>
      </c>
      <c r="P326" s="128" t="s">
        <v>13</v>
      </c>
      <c r="Q326" s="128">
        <v>2</v>
      </c>
      <c r="R326" s="128">
        <v>3</v>
      </c>
      <c r="S326" s="129">
        <v>121200</v>
      </c>
      <c r="T326" s="129">
        <v>0</v>
      </c>
      <c r="U326" s="129">
        <v>46000</v>
      </c>
      <c r="V326" s="130">
        <v>476248</v>
      </c>
      <c r="W326" s="128">
        <v>0</v>
      </c>
      <c r="X326" s="128">
        <v>2</v>
      </c>
      <c r="Y326" s="131" t="str">
        <f ca="1">IF(ISBLANK(BudgetsTable[[#This Row],[budg_seq_yr]]),"FY"&amp;fiscalyear,"FY"&amp;fiscalyear-1+BudgetsTable[[#This Row],[budg_seq_yr]])</f>
        <v>FY19</v>
      </c>
      <c r="Z326" s="129">
        <v>476248</v>
      </c>
      <c r="AA326" s="128" t="s">
        <v>741</v>
      </c>
      <c r="AB326" s="128" t="s">
        <v>901</v>
      </c>
      <c r="AC326" s="126" t="s">
        <v>94</v>
      </c>
      <c r="AD326" s="128" t="s">
        <v>1968</v>
      </c>
    </row>
    <row r="327" spans="1:30">
      <c r="A327" s="125" t="s">
        <v>1474</v>
      </c>
      <c r="B327" s="126" t="s">
        <v>96</v>
      </c>
      <c r="C327" s="126">
        <f>C326+(BudgetsTable[[#This Row],[lead]]&lt;&gt;K326)</f>
        <v>69</v>
      </c>
      <c r="D327" s="126">
        <f>D326*(BudgetsTable[[#This Row],[lead]]=K326)+(BudgetsTable[[#This Row],[prop_id]]&lt;&gt;A326)</f>
        <v>1</v>
      </c>
      <c r="E327" s="127">
        <v>42809.811805555553</v>
      </c>
      <c r="F327" s="128" t="s">
        <v>1965</v>
      </c>
      <c r="G327" s="128" t="s">
        <v>741</v>
      </c>
      <c r="H327" s="128" t="s">
        <v>901</v>
      </c>
      <c r="I327" s="126" t="s">
        <v>942</v>
      </c>
      <c r="J327" s="126" t="s">
        <v>13</v>
      </c>
      <c r="K327" s="128" t="s">
        <v>1474</v>
      </c>
      <c r="L327" s="7" t="str">
        <f>IF(BudgetsTable[[#This Row],[pi_last_name]]=" ","",HYPERLINK("https://www.ejacket.nsf.gov/ej/showProposal.do?Continue=Y&amp;ID="&amp;BudgetsTable[[#This Row],[prop_id]],BudgetsTable[[#This Row],[prop_id]]))</f>
        <v/>
      </c>
      <c r="M327" s="15" t="str">
        <f>IF(BudgetsTable[[#This Row],[pi_last_name]]=" ","",HYPERLINK("https://www.ejacket.nsf.gov/ej/processReviewAnalysis.do?dispatch=add&amp;uniqId="&amp;BudgetsTable[[#This Row],[prop_id]]&amp;PO_id,"&gt;ra"))</f>
        <v/>
      </c>
      <c r="N327" s="128" t="s">
        <v>13</v>
      </c>
      <c r="O327" s="7" t="str">
        <f>IF(BudgetsTable[[#This Row],[pi_last_name]]=" ","",HYPERLINK("mailto:"&amp;BudgetsTable[[#This Row],[pi_email]]&amp;"&amp;subject=Your NSF Proposal:  "&amp;BudgetsTable[[#This Row],[prop_id]],BudgetsTable[[#This Row],[pi_email]]))</f>
        <v/>
      </c>
      <c r="P327" s="128" t="s">
        <v>13</v>
      </c>
      <c r="Q327" s="128">
        <v>2</v>
      </c>
      <c r="R327" s="128">
        <v>3</v>
      </c>
      <c r="S327" s="129">
        <v>121200</v>
      </c>
      <c r="T327" s="129">
        <v>0</v>
      </c>
      <c r="U327" s="129">
        <v>46000</v>
      </c>
      <c r="V327" s="130">
        <v>468250</v>
      </c>
      <c r="W327" s="128">
        <v>0</v>
      </c>
      <c r="X327" s="128">
        <v>3</v>
      </c>
      <c r="Y327" s="131" t="str">
        <f ca="1">IF(ISBLANK(BudgetsTable[[#This Row],[budg_seq_yr]]),"FY"&amp;fiscalyear,"FY"&amp;fiscalyear-1+BudgetsTable[[#This Row],[budg_seq_yr]])</f>
        <v>FY20</v>
      </c>
      <c r="Z327" s="129">
        <v>468250</v>
      </c>
      <c r="AA327" s="128" t="s">
        <v>741</v>
      </c>
      <c r="AB327" s="128" t="s">
        <v>901</v>
      </c>
      <c r="AC327" s="126" t="s">
        <v>94</v>
      </c>
      <c r="AD327" s="128" t="s">
        <v>1968</v>
      </c>
    </row>
    <row r="328" spans="1:30">
      <c r="A328" s="125" t="s">
        <v>1479</v>
      </c>
      <c r="B328" s="126" t="s">
        <v>1981</v>
      </c>
      <c r="C328" s="126">
        <f>C327+(BudgetsTable[[#This Row],[lead]]&lt;&gt;K327)</f>
        <v>70</v>
      </c>
      <c r="D328" s="126">
        <f>D327*(BudgetsTable[[#This Row],[lead]]=K327)+(BudgetsTable[[#This Row],[prop_id]]&lt;&gt;A327)</f>
        <v>1</v>
      </c>
      <c r="E328" s="127">
        <v>42810.679861111108</v>
      </c>
      <c r="F328" s="128" t="s">
        <v>1965</v>
      </c>
      <c r="G328" s="128" t="s">
        <v>741</v>
      </c>
      <c r="H328" s="128" t="s">
        <v>901</v>
      </c>
      <c r="I328" s="126" t="s">
        <v>543</v>
      </c>
      <c r="J328" s="126" t="s">
        <v>2342</v>
      </c>
      <c r="K328" s="128" t="s">
        <v>1479</v>
      </c>
      <c r="L328" s="7" t="str">
        <f>IF(BudgetsTable[[#This Row],[pi_last_name]]=" ","",HYPERLINK("https://www.ejacket.nsf.gov/ej/showProposal.do?Continue=Y&amp;ID="&amp;BudgetsTable[[#This Row],[prop_id]],BudgetsTable[[#This Row],[prop_id]]))</f>
        <v>1740904</v>
      </c>
      <c r="M328" s="15" t="str">
        <f>IF(BudgetsTable[[#This Row],[pi_last_name]]=" ","",HYPERLINK("https://www.ejacket.nsf.gov/ej/processReviewAnalysis.do?dispatch=add&amp;uniqId="&amp;BudgetsTable[[#This Row],[prop_id]]&amp;PO_id,"&gt;ra"))</f>
        <v>&gt;ra</v>
      </c>
      <c r="N328" s="128" t="s">
        <v>1480</v>
      </c>
      <c r="O328" s="7" t="str">
        <f>IF(BudgetsTable[[#This Row],[pi_last_name]]=" ","",HYPERLINK("mailto:"&amp;BudgetsTable[[#This Row],[pi_email]]&amp;"&amp;subject=Your NSF Proposal:  "&amp;BudgetsTable[[#This Row],[prop_id]],BudgetsTable[[#This Row],[pi_email]]))</f>
        <v>byener@gmail.com</v>
      </c>
      <c r="P328" s="128" t="s">
        <v>2339</v>
      </c>
      <c r="Q328" s="128"/>
      <c r="R328" s="128"/>
      <c r="S328" s="129"/>
      <c r="T328" s="129"/>
      <c r="U328" s="129"/>
      <c r="V328" s="130"/>
      <c r="W328" s="128">
        <v>0</v>
      </c>
      <c r="X328" s="128"/>
      <c r="Y328" s="131" t="str">
        <f ca="1">IF(ISBLANK(BudgetsTable[[#This Row],[budg_seq_yr]]),"FY"&amp;fiscalyear,"FY"&amp;fiscalyear-1+BudgetsTable[[#This Row],[budg_seq_yr]])</f>
        <v>FY18</v>
      </c>
      <c r="Z328" s="129">
        <v>1277934</v>
      </c>
      <c r="AA328" s="128" t="s">
        <v>741</v>
      </c>
      <c r="AB328" s="128" t="s">
        <v>901</v>
      </c>
      <c r="AC328" s="126" t="s">
        <v>94</v>
      </c>
      <c r="AD328" s="128" t="s">
        <v>1968</v>
      </c>
    </row>
    <row r="329" spans="1:30">
      <c r="A329" s="125" t="s">
        <v>1479</v>
      </c>
      <c r="B329" s="126" t="s">
        <v>1981</v>
      </c>
      <c r="C329" s="126">
        <f>C328+(BudgetsTable[[#This Row],[lead]]&lt;&gt;K328)</f>
        <v>70</v>
      </c>
      <c r="D329" s="126">
        <f>D328*(BudgetsTable[[#This Row],[lead]]=K328)+(BudgetsTable[[#This Row],[prop_id]]&lt;&gt;A328)</f>
        <v>1</v>
      </c>
      <c r="E329" s="127">
        <v>42810.679861111108</v>
      </c>
      <c r="F329" s="128" t="s">
        <v>1965</v>
      </c>
      <c r="G329" s="128" t="s">
        <v>741</v>
      </c>
      <c r="H329" s="128" t="s">
        <v>901</v>
      </c>
      <c r="I329" s="126" t="s">
        <v>543</v>
      </c>
      <c r="J329" s="126" t="s">
        <v>13</v>
      </c>
      <c r="K329" s="128" t="s">
        <v>1479</v>
      </c>
      <c r="L329" s="7" t="str">
        <f>IF(BudgetsTable[[#This Row],[pi_last_name]]=" ","",HYPERLINK("https://www.ejacket.nsf.gov/ej/showProposal.do?Continue=Y&amp;ID="&amp;BudgetsTable[[#This Row],[prop_id]],BudgetsTable[[#This Row],[prop_id]]))</f>
        <v/>
      </c>
      <c r="M329" s="15" t="str">
        <f>IF(BudgetsTable[[#This Row],[pi_last_name]]=" ","",HYPERLINK("https://www.ejacket.nsf.gov/ej/processReviewAnalysis.do?dispatch=add&amp;uniqId="&amp;BudgetsTable[[#This Row],[prop_id]]&amp;PO_id,"&gt;ra"))</f>
        <v/>
      </c>
      <c r="N329" s="128" t="s">
        <v>13</v>
      </c>
      <c r="O329" s="7" t="str">
        <f>IF(BudgetsTable[[#This Row],[pi_last_name]]=" ","",HYPERLINK("mailto:"&amp;BudgetsTable[[#This Row],[pi_email]]&amp;"&amp;subject=Your NSF Proposal:  "&amp;BudgetsTable[[#This Row],[prop_id]],BudgetsTable[[#This Row],[pi_email]]))</f>
        <v/>
      </c>
      <c r="P329" s="128" t="s">
        <v>13</v>
      </c>
      <c r="Q329" s="128">
        <v>4</v>
      </c>
      <c r="R329" s="128">
        <v>2.25</v>
      </c>
      <c r="S329" s="129">
        <v>0</v>
      </c>
      <c r="T329" s="129">
        <v>0</v>
      </c>
      <c r="U329" s="129">
        <v>0</v>
      </c>
      <c r="V329" s="130">
        <v>428214</v>
      </c>
      <c r="W329" s="128">
        <v>0</v>
      </c>
      <c r="X329" s="128">
        <v>1</v>
      </c>
      <c r="Y329" s="131" t="str">
        <f ca="1">IF(ISBLANK(BudgetsTable[[#This Row],[budg_seq_yr]]),"FY"&amp;fiscalyear,"FY"&amp;fiscalyear-1+BudgetsTable[[#This Row],[budg_seq_yr]])</f>
        <v>FY18</v>
      </c>
      <c r="Z329" s="129">
        <v>428214</v>
      </c>
      <c r="AA329" s="128" t="s">
        <v>741</v>
      </c>
      <c r="AB329" s="128" t="s">
        <v>901</v>
      </c>
      <c r="AC329" s="126" t="s">
        <v>94</v>
      </c>
      <c r="AD329" s="128" t="s">
        <v>1968</v>
      </c>
    </row>
    <row r="330" spans="1:30">
      <c r="A330" s="125" t="s">
        <v>1479</v>
      </c>
      <c r="B330" s="126" t="s">
        <v>1981</v>
      </c>
      <c r="C330" s="126">
        <f>C329+(BudgetsTable[[#This Row],[lead]]&lt;&gt;K329)</f>
        <v>70</v>
      </c>
      <c r="D330" s="126">
        <f>D329*(BudgetsTable[[#This Row],[lead]]=K329)+(BudgetsTable[[#This Row],[prop_id]]&lt;&gt;A329)</f>
        <v>1</v>
      </c>
      <c r="E330" s="127">
        <v>42810.679861111108</v>
      </c>
      <c r="F330" s="128" t="s">
        <v>1965</v>
      </c>
      <c r="G330" s="128" t="s">
        <v>741</v>
      </c>
      <c r="H330" s="128" t="s">
        <v>901</v>
      </c>
      <c r="I330" s="126" t="s">
        <v>543</v>
      </c>
      <c r="J330" s="126" t="s">
        <v>13</v>
      </c>
      <c r="K330" s="128" t="s">
        <v>1479</v>
      </c>
      <c r="L330" s="7" t="str">
        <f>IF(BudgetsTable[[#This Row],[pi_last_name]]=" ","",HYPERLINK("https://www.ejacket.nsf.gov/ej/showProposal.do?Continue=Y&amp;ID="&amp;BudgetsTable[[#This Row],[prop_id]],BudgetsTable[[#This Row],[prop_id]]))</f>
        <v/>
      </c>
      <c r="M330" s="15" t="str">
        <f>IF(BudgetsTable[[#This Row],[pi_last_name]]=" ","",HYPERLINK("https://www.ejacket.nsf.gov/ej/processReviewAnalysis.do?dispatch=add&amp;uniqId="&amp;BudgetsTable[[#This Row],[prop_id]]&amp;PO_id,"&gt;ra"))</f>
        <v/>
      </c>
      <c r="N330" s="128" t="s">
        <v>13</v>
      </c>
      <c r="O330" s="7" t="str">
        <f>IF(BudgetsTable[[#This Row],[pi_last_name]]=" ","",HYPERLINK("mailto:"&amp;BudgetsTable[[#This Row],[pi_email]]&amp;"&amp;subject=Your NSF Proposal:  "&amp;BudgetsTable[[#This Row],[prop_id]],BudgetsTable[[#This Row],[pi_email]]))</f>
        <v/>
      </c>
      <c r="P330" s="128" t="s">
        <v>13</v>
      </c>
      <c r="Q330" s="128">
        <v>4</v>
      </c>
      <c r="R330" s="128">
        <v>2.25</v>
      </c>
      <c r="S330" s="129">
        <v>0</v>
      </c>
      <c r="T330" s="129">
        <v>0</v>
      </c>
      <c r="U330" s="129">
        <v>0</v>
      </c>
      <c r="V330" s="130">
        <v>425943</v>
      </c>
      <c r="W330" s="128">
        <v>0</v>
      </c>
      <c r="X330" s="128">
        <v>2</v>
      </c>
      <c r="Y330" s="131" t="str">
        <f ca="1">IF(ISBLANK(BudgetsTable[[#This Row],[budg_seq_yr]]),"FY"&amp;fiscalyear,"FY"&amp;fiscalyear-1+BudgetsTable[[#This Row],[budg_seq_yr]])</f>
        <v>FY19</v>
      </c>
      <c r="Z330" s="129">
        <v>425943</v>
      </c>
      <c r="AA330" s="128" t="s">
        <v>741</v>
      </c>
      <c r="AB330" s="128" t="s">
        <v>901</v>
      </c>
      <c r="AC330" s="126" t="s">
        <v>94</v>
      </c>
      <c r="AD330" s="128" t="s">
        <v>1968</v>
      </c>
    </row>
    <row r="331" spans="1:30">
      <c r="A331" s="125" t="s">
        <v>1479</v>
      </c>
      <c r="B331" s="126" t="s">
        <v>1981</v>
      </c>
      <c r="C331" s="126">
        <f>C330+(BudgetsTable[[#This Row],[lead]]&lt;&gt;K330)</f>
        <v>70</v>
      </c>
      <c r="D331" s="126">
        <f>D330*(BudgetsTable[[#This Row],[lead]]=K330)+(BudgetsTable[[#This Row],[prop_id]]&lt;&gt;A330)</f>
        <v>1</v>
      </c>
      <c r="E331" s="127">
        <v>42810.679861111108</v>
      </c>
      <c r="F331" s="128" t="s">
        <v>1965</v>
      </c>
      <c r="G331" s="128" t="s">
        <v>741</v>
      </c>
      <c r="H331" s="128" t="s">
        <v>901</v>
      </c>
      <c r="I331" s="126" t="s">
        <v>543</v>
      </c>
      <c r="J331" s="126" t="s">
        <v>13</v>
      </c>
      <c r="K331" s="128" t="s">
        <v>1479</v>
      </c>
      <c r="L331" s="7" t="str">
        <f>IF(BudgetsTable[[#This Row],[pi_last_name]]=" ","",HYPERLINK("https://www.ejacket.nsf.gov/ej/showProposal.do?Continue=Y&amp;ID="&amp;BudgetsTable[[#This Row],[prop_id]],BudgetsTable[[#This Row],[prop_id]]))</f>
        <v/>
      </c>
      <c r="M331" s="15" t="str">
        <f>IF(BudgetsTable[[#This Row],[pi_last_name]]=" ","",HYPERLINK("https://www.ejacket.nsf.gov/ej/processReviewAnalysis.do?dispatch=add&amp;uniqId="&amp;BudgetsTable[[#This Row],[prop_id]]&amp;PO_id,"&gt;ra"))</f>
        <v/>
      </c>
      <c r="N331" s="128" t="s">
        <v>13</v>
      </c>
      <c r="O331" s="7" t="str">
        <f>IF(BudgetsTable[[#This Row],[pi_last_name]]=" ","",HYPERLINK("mailto:"&amp;BudgetsTable[[#This Row],[pi_email]]&amp;"&amp;subject=Your NSF Proposal:  "&amp;BudgetsTable[[#This Row],[prop_id]],BudgetsTable[[#This Row],[pi_email]]))</f>
        <v/>
      </c>
      <c r="P331" s="128" t="s">
        <v>13</v>
      </c>
      <c r="Q331" s="128">
        <v>4</v>
      </c>
      <c r="R331" s="128">
        <v>2.25</v>
      </c>
      <c r="S331" s="129">
        <v>0</v>
      </c>
      <c r="T331" s="129">
        <v>0</v>
      </c>
      <c r="U331" s="129">
        <v>0</v>
      </c>
      <c r="V331" s="130">
        <v>423777</v>
      </c>
      <c r="W331" s="128">
        <v>0</v>
      </c>
      <c r="X331" s="128">
        <v>3</v>
      </c>
      <c r="Y331" s="131" t="str">
        <f ca="1">IF(ISBLANK(BudgetsTable[[#This Row],[budg_seq_yr]]),"FY"&amp;fiscalyear,"FY"&amp;fiscalyear-1+BudgetsTable[[#This Row],[budg_seq_yr]])</f>
        <v>FY20</v>
      </c>
      <c r="Z331" s="129">
        <v>423777</v>
      </c>
      <c r="AA331" s="128" t="s">
        <v>741</v>
      </c>
      <c r="AB331" s="128" t="s">
        <v>901</v>
      </c>
      <c r="AC331" s="126" t="s">
        <v>94</v>
      </c>
      <c r="AD331" s="128" t="s">
        <v>1968</v>
      </c>
    </row>
    <row r="332" spans="1:30">
      <c r="A332" s="125" t="s">
        <v>2343</v>
      </c>
      <c r="B332" s="126" t="s">
        <v>1989</v>
      </c>
      <c r="C332" s="126">
        <f>C331+(BudgetsTable[[#This Row],[lead]]&lt;&gt;K331)</f>
        <v>70</v>
      </c>
      <c r="D332" s="126">
        <f>D331*(BudgetsTable[[#This Row],[lead]]=K331)+(BudgetsTable[[#This Row],[prop_id]]&lt;&gt;A331)</f>
        <v>2</v>
      </c>
      <c r="E332" s="127">
        <v>42809.634027777778</v>
      </c>
      <c r="F332" s="128" t="s">
        <v>1965</v>
      </c>
      <c r="G332" s="128" t="s">
        <v>741</v>
      </c>
      <c r="H332" s="128" t="s">
        <v>901</v>
      </c>
      <c r="I332" s="126" t="s">
        <v>543</v>
      </c>
      <c r="J332" s="126" t="s">
        <v>2347</v>
      </c>
      <c r="K332" s="128" t="s">
        <v>1479</v>
      </c>
      <c r="L332" s="7" t="str">
        <f>IF(BudgetsTable[[#This Row],[pi_last_name]]=" ","",HYPERLINK("https://www.ejacket.nsf.gov/ej/showProposal.do?Continue=Y&amp;ID="&amp;BudgetsTable[[#This Row],[prop_id]],BudgetsTable[[#This Row],[prop_id]]))</f>
        <v>1740792</v>
      </c>
      <c r="M332" s="15" t="str">
        <f>IF(BudgetsTable[[#This Row],[pi_last_name]]=" ","",HYPERLINK("https://www.ejacket.nsf.gov/ej/processReviewAnalysis.do?dispatch=add&amp;uniqId="&amp;BudgetsTable[[#This Row],[prop_id]]&amp;PO_id,"&gt;ra"))</f>
        <v>&gt;ra</v>
      </c>
      <c r="N332" s="128" t="s">
        <v>2344</v>
      </c>
      <c r="O332" s="7" t="str">
        <f>IF(BudgetsTable[[#This Row],[pi_last_name]]=" ","",HYPERLINK("mailto:"&amp;BudgetsTable[[#This Row],[pi_email]]&amp;"&amp;subject=Your NSF Proposal:  "&amp;BudgetsTable[[#This Row],[prop_id]],BudgetsTable[[#This Row],[pi_email]]))</f>
        <v>kk3ab@virginia.edu</v>
      </c>
      <c r="P332" s="128" t="s">
        <v>2346</v>
      </c>
      <c r="Q332" s="128"/>
      <c r="R332" s="128"/>
      <c r="S332" s="129"/>
      <c r="T332" s="129"/>
      <c r="U332" s="129"/>
      <c r="V332" s="130"/>
      <c r="W332" s="128">
        <v>0</v>
      </c>
      <c r="X332" s="128"/>
      <c r="Y332" s="131" t="str">
        <f ca="1">IF(ISBLANK(BudgetsTable[[#This Row],[budg_seq_yr]]),"FY"&amp;fiscalyear,"FY"&amp;fiscalyear-1+BudgetsTable[[#This Row],[budg_seq_yr]])</f>
        <v>FY18</v>
      </c>
      <c r="Z332" s="129">
        <v>222063</v>
      </c>
      <c r="AA332" s="128" t="s">
        <v>741</v>
      </c>
      <c r="AB332" s="128" t="s">
        <v>901</v>
      </c>
      <c r="AC332" s="126" t="s">
        <v>94</v>
      </c>
      <c r="AD332" s="128" t="s">
        <v>2007</v>
      </c>
    </row>
    <row r="333" spans="1:30">
      <c r="A333" s="125" t="s">
        <v>2343</v>
      </c>
      <c r="B333" s="126" t="s">
        <v>1989</v>
      </c>
      <c r="C333" s="126">
        <f>C332+(BudgetsTable[[#This Row],[lead]]&lt;&gt;K332)</f>
        <v>70</v>
      </c>
      <c r="D333" s="126">
        <f>D332*(BudgetsTable[[#This Row],[lead]]=K332)+(BudgetsTable[[#This Row],[prop_id]]&lt;&gt;A332)</f>
        <v>2</v>
      </c>
      <c r="E333" s="127">
        <v>42809.634027777778</v>
      </c>
      <c r="F333" s="128" t="s">
        <v>1965</v>
      </c>
      <c r="G333" s="128" t="s">
        <v>741</v>
      </c>
      <c r="H333" s="128" t="s">
        <v>901</v>
      </c>
      <c r="I333" s="126" t="s">
        <v>543</v>
      </c>
      <c r="J333" s="126" t="s">
        <v>13</v>
      </c>
      <c r="K333" s="128" t="s">
        <v>1479</v>
      </c>
      <c r="L333" s="7" t="str">
        <f>IF(BudgetsTable[[#This Row],[pi_last_name]]=" ","",HYPERLINK("https://www.ejacket.nsf.gov/ej/showProposal.do?Continue=Y&amp;ID="&amp;BudgetsTable[[#This Row],[prop_id]],BudgetsTable[[#This Row],[prop_id]]))</f>
        <v/>
      </c>
      <c r="M333" s="15" t="str">
        <f>IF(BudgetsTable[[#This Row],[pi_last_name]]=" ","",HYPERLINK("https://www.ejacket.nsf.gov/ej/processReviewAnalysis.do?dispatch=add&amp;uniqId="&amp;BudgetsTable[[#This Row],[prop_id]]&amp;PO_id,"&gt;ra"))</f>
        <v/>
      </c>
      <c r="N333" s="128" t="s">
        <v>13</v>
      </c>
      <c r="O333" s="7" t="str">
        <f>IF(BudgetsTable[[#This Row],[pi_last_name]]=" ","",HYPERLINK("mailto:"&amp;BudgetsTable[[#This Row],[pi_email]]&amp;"&amp;subject=Your NSF Proposal:  "&amp;BudgetsTable[[#This Row],[prop_id]],BudgetsTable[[#This Row],[pi_email]]))</f>
        <v/>
      </c>
      <c r="P333" s="128" t="s">
        <v>13</v>
      </c>
      <c r="Q333" s="128">
        <v>1</v>
      </c>
      <c r="R333" s="128">
        <v>1</v>
      </c>
      <c r="S333" s="129">
        <v>0</v>
      </c>
      <c r="T333" s="129">
        <v>0</v>
      </c>
      <c r="U333" s="129">
        <v>0</v>
      </c>
      <c r="V333" s="130">
        <v>71785</v>
      </c>
      <c r="W333" s="128">
        <v>0</v>
      </c>
      <c r="X333" s="128">
        <v>1</v>
      </c>
      <c r="Y333" s="131" t="str">
        <f ca="1">IF(ISBLANK(BudgetsTable[[#This Row],[budg_seq_yr]]),"FY"&amp;fiscalyear,"FY"&amp;fiscalyear-1+BudgetsTable[[#This Row],[budg_seq_yr]])</f>
        <v>FY18</v>
      </c>
      <c r="Z333" s="129">
        <v>71785</v>
      </c>
      <c r="AA333" s="128" t="s">
        <v>741</v>
      </c>
      <c r="AB333" s="128" t="s">
        <v>901</v>
      </c>
      <c r="AC333" s="126" t="s">
        <v>94</v>
      </c>
      <c r="AD333" s="128" t="s">
        <v>2007</v>
      </c>
    </row>
    <row r="334" spans="1:30">
      <c r="A334" s="125" t="s">
        <v>2343</v>
      </c>
      <c r="B334" s="126" t="s">
        <v>1989</v>
      </c>
      <c r="C334" s="126">
        <f>C333+(BudgetsTable[[#This Row],[lead]]&lt;&gt;K333)</f>
        <v>70</v>
      </c>
      <c r="D334" s="126">
        <f>D333*(BudgetsTable[[#This Row],[lead]]=K333)+(BudgetsTable[[#This Row],[prop_id]]&lt;&gt;A333)</f>
        <v>2</v>
      </c>
      <c r="E334" s="127">
        <v>42809.634027777778</v>
      </c>
      <c r="F334" s="128" t="s">
        <v>1965</v>
      </c>
      <c r="G334" s="128" t="s">
        <v>741</v>
      </c>
      <c r="H334" s="128" t="s">
        <v>901</v>
      </c>
      <c r="I334" s="126" t="s">
        <v>543</v>
      </c>
      <c r="J334" s="126" t="s">
        <v>13</v>
      </c>
      <c r="K334" s="128" t="s">
        <v>1479</v>
      </c>
      <c r="L334" s="7" t="str">
        <f>IF(BudgetsTable[[#This Row],[pi_last_name]]=" ","",HYPERLINK("https://www.ejacket.nsf.gov/ej/showProposal.do?Continue=Y&amp;ID="&amp;BudgetsTable[[#This Row],[prop_id]],BudgetsTable[[#This Row],[prop_id]]))</f>
        <v/>
      </c>
      <c r="M334" s="15" t="str">
        <f>IF(BudgetsTable[[#This Row],[pi_last_name]]=" ","",HYPERLINK("https://www.ejacket.nsf.gov/ej/processReviewAnalysis.do?dispatch=add&amp;uniqId="&amp;BudgetsTable[[#This Row],[prop_id]]&amp;PO_id,"&gt;ra"))</f>
        <v/>
      </c>
      <c r="N334" s="128" t="s">
        <v>13</v>
      </c>
      <c r="O334" s="7" t="str">
        <f>IF(BudgetsTable[[#This Row],[pi_last_name]]=" ","",HYPERLINK("mailto:"&amp;BudgetsTable[[#This Row],[pi_email]]&amp;"&amp;subject=Your NSF Proposal:  "&amp;BudgetsTable[[#This Row],[prop_id]],BudgetsTable[[#This Row],[pi_email]]))</f>
        <v/>
      </c>
      <c r="P334" s="128" t="s">
        <v>13</v>
      </c>
      <c r="Q334" s="128">
        <v>1</v>
      </c>
      <c r="R334" s="128">
        <v>1</v>
      </c>
      <c r="S334" s="129">
        <v>0</v>
      </c>
      <c r="T334" s="129">
        <v>0</v>
      </c>
      <c r="U334" s="129">
        <v>0</v>
      </c>
      <c r="V334" s="130">
        <v>74056</v>
      </c>
      <c r="W334" s="128">
        <v>0</v>
      </c>
      <c r="X334" s="128">
        <v>2</v>
      </c>
      <c r="Y334" s="131" t="str">
        <f ca="1">IF(ISBLANK(BudgetsTable[[#This Row],[budg_seq_yr]]),"FY"&amp;fiscalyear,"FY"&amp;fiscalyear-1+BudgetsTable[[#This Row],[budg_seq_yr]])</f>
        <v>FY19</v>
      </c>
      <c r="Z334" s="129">
        <v>74056</v>
      </c>
      <c r="AA334" s="128" t="s">
        <v>741</v>
      </c>
      <c r="AB334" s="128" t="s">
        <v>901</v>
      </c>
      <c r="AC334" s="126" t="s">
        <v>94</v>
      </c>
      <c r="AD334" s="128" t="s">
        <v>2007</v>
      </c>
    </row>
    <row r="335" spans="1:30">
      <c r="A335" s="125" t="s">
        <v>2343</v>
      </c>
      <c r="B335" s="126" t="s">
        <v>1989</v>
      </c>
      <c r="C335" s="126">
        <f>C334+(BudgetsTable[[#This Row],[lead]]&lt;&gt;K334)</f>
        <v>70</v>
      </c>
      <c r="D335" s="126">
        <f>D334*(BudgetsTable[[#This Row],[lead]]=K334)+(BudgetsTable[[#This Row],[prop_id]]&lt;&gt;A334)</f>
        <v>2</v>
      </c>
      <c r="E335" s="127">
        <v>42809.634027777778</v>
      </c>
      <c r="F335" s="128" t="s">
        <v>1965</v>
      </c>
      <c r="G335" s="128" t="s">
        <v>741</v>
      </c>
      <c r="H335" s="128" t="s">
        <v>901</v>
      </c>
      <c r="I335" s="126" t="s">
        <v>543</v>
      </c>
      <c r="J335" s="126" t="s">
        <v>13</v>
      </c>
      <c r="K335" s="128" t="s">
        <v>1479</v>
      </c>
      <c r="L335" s="7" t="str">
        <f>IF(BudgetsTable[[#This Row],[pi_last_name]]=" ","",HYPERLINK("https://www.ejacket.nsf.gov/ej/showProposal.do?Continue=Y&amp;ID="&amp;BudgetsTable[[#This Row],[prop_id]],BudgetsTable[[#This Row],[prop_id]]))</f>
        <v/>
      </c>
      <c r="M335" s="15" t="str">
        <f>IF(BudgetsTable[[#This Row],[pi_last_name]]=" ","",HYPERLINK("https://www.ejacket.nsf.gov/ej/processReviewAnalysis.do?dispatch=add&amp;uniqId="&amp;BudgetsTable[[#This Row],[prop_id]]&amp;PO_id,"&gt;ra"))</f>
        <v/>
      </c>
      <c r="N335" s="128" t="s">
        <v>13</v>
      </c>
      <c r="O335" s="7" t="str">
        <f>IF(BudgetsTable[[#This Row],[pi_last_name]]=" ","",HYPERLINK("mailto:"&amp;BudgetsTable[[#This Row],[pi_email]]&amp;"&amp;subject=Your NSF Proposal:  "&amp;BudgetsTable[[#This Row],[prop_id]],BudgetsTable[[#This Row],[pi_email]]))</f>
        <v/>
      </c>
      <c r="P335" s="128" t="s">
        <v>13</v>
      </c>
      <c r="Q335" s="128">
        <v>1</v>
      </c>
      <c r="R335" s="128">
        <v>1</v>
      </c>
      <c r="S335" s="129">
        <v>0</v>
      </c>
      <c r="T335" s="129">
        <v>0</v>
      </c>
      <c r="U335" s="129">
        <v>0</v>
      </c>
      <c r="V335" s="130">
        <v>76222</v>
      </c>
      <c r="W335" s="128">
        <v>0</v>
      </c>
      <c r="X335" s="128">
        <v>3</v>
      </c>
      <c r="Y335" s="131" t="str">
        <f ca="1">IF(ISBLANK(BudgetsTable[[#This Row],[budg_seq_yr]]),"FY"&amp;fiscalyear,"FY"&amp;fiscalyear-1+BudgetsTable[[#This Row],[budg_seq_yr]])</f>
        <v>FY20</v>
      </c>
      <c r="Z335" s="129">
        <v>76222</v>
      </c>
      <c r="AA335" s="128" t="s">
        <v>741</v>
      </c>
      <c r="AB335" s="128" t="s">
        <v>901</v>
      </c>
      <c r="AC335" s="126" t="s">
        <v>94</v>
      </c>
      <c r="AD335" s="128" t="s">
        <v>2007</v>
      </c>
    </row>
    <row r="336" spans="1:30">
      <c r="A336" s="125" t="s">
        <v>541</v>
      </c>
      <c r="B336" s="126" t="s">
        <v>96</v>
      </c>
      <c r="C336" s="126">
        <f>C335+(BudgetsTable[[#This Row],[lead]]&lt;&gt;K335)</f>
        <v>71</v>
      </c>
      <c r="D336" s="126">
        <f>D335*(BudgetsTable[[#This Row],[lead]]=K335)+(BudgetsTable[[#This Row],[prop_id]]&lt;&gt;A335)</f>
        <v>1</v>
      </c>
      <c r="E336" s="127">
        <v>42930.554166666669</v>
      </c>
      <c r="F336" s="128" t="s">
        <v>242</v>
      </c>
      <c r="G336" s="128" t="s">
        <v>741</v>
      </c>
      <c r="H336" s="128" t="s">
        <v>528</v>
      </c>
      <c r="I336" s="126" t="s">
        <v>540</v>
      </c>
      <c r="J336" s="126" t="s">
        <v>750</v>
      </c>
      <c r="K336" s="128" t="s">
        <v>541</v>
      </c>
      <c r="L336" s="7" t="str">
        <f>IF(BudgetsTable[[#This Row],[pi_last_name]]=" ","",HYPERLINK("https://www.ejacket.nsf.gov/ej/showProposal.do?Continue=Y&amp;ID="&amp;BudgetsTable[[#This Row],[prop_id]],BudgetsTable[[#This Row],[prop_id]]))</f>
        <v>1749173</v>
      </c>
      <c r="M336" s="15" t="str">
        <f>IF(BudgetsTable[[#This Row],[pi_last_name]]=" ","",HYPERLINK("https://www.ejacket.nsf.gov/ej/processReviewAnalysis.do?dispatch=add&amp;uniqId="&amp;BudgetsTable[[#This Row],[prop_id]]&amp;PO_id,"&gt;ra"))</f>
        <v>&gt;ra</v>
      </c>
      <c r="N336" s="128" t="s">
        <v>542</v>
      </c>
      <c r="O336" s="7" t="str">
        <f>IF(BudgetsTable[[#This Row],[pi_last_name]]=" ","",HYPERLINK("mailto:"&amp;BudgetsTable[[#This Row],[pi_email]]&amp;"&amp;subject=Your NSF Proposal:  "&amp;BudgetsTable[[#This Row],[prop_id]],BudgetsTable[[#This Row],[pi_email]]))</f>
        <v>steffen.borgwardt@ucdenver.edu</v>
      </c>
      <c r="P336" s="128" t="s">
        <v>747</v>
      </c>
      <c r="Q336" s="128"/>
      <c r="R336" s="128"/>
      <c r="S336" s="129"/>
      <c r="T336" s="129"/>
      <c r="U336" s="129"/>
      <c r="V336" s="130"/>
      <c r="W336" s="128">
        <v>0</v>
      </c>
      <c r="X336" s="128"/>
      <c r="Y336" s="131" t="str">
        <f ca="1">IF(ISBLANK(BudgetsTable[[#This Row],[budg_seq_yr]]),"FY"&amp;fiscalyear,"FY"&amp;fiscalyear-1+BudgetsTable[[#This Row],[budg_seq_yr]])</f>
        <v>FY18</v>
      </c>
      <c r="Z336" s="129">
        <v>470400</v>
      </c>
      <c r="AA336" s="128" t="s">
        <v>741</v>
      </c>
      <c r="AB336" s="128" t="s">
        <v>528</v>
      </c>
      <c r="AC336" s="126" t="s">
        <v>94</v>
      </c>
      <c r="AD336" s="128" t="s">
        <v>744</v>
      </c>
    </row>
    <row r="337" spans="1:30">
      <c r="A337" s="125" t="s">
        <v>541</v>
      </c>
      <c r="B337" s="126" t="s">
        <v>96</v>
      </c>
      <c r="C337" s="126">
        <f>C336+(BudgetsTable[[#This Row],[lead]]&lt;&gt;K336)</f>
        <v>71</v>
      </c>
      <c r="D337" s="126">
        <f>D336*(BudgetsTable[[#This Row],[lead]]=K336)+(BudgetsTable[[#This Row],[prop_id]]&lt;&gt;A336)</f>
        <v>1</v>
      </c>
      <c r="E337" s="127">
        <v>42930.554166666669</v>
      </c>
      <c r="F337" s="128" t="s">
        <v>242</v>
      </c>
      <c r="G337" s="128" t="s">
        <v>741</v>
      </c>
      <c r="H337" s="128" t="s">
        <v>528</v>
      </c>
      <c r="I337" s="126" t="s">
        <v>540</v>
      </c>
      <c r="J337" s="126" t="s">
        <v>13</v>
      </c>
      <c r="K337" s="128" t="s">
        <v>541</v>
      </c>
      <c r="L337" s="7" t="str">
        <f>IF(BudgetsTable[[#This Row],[pi_last_name]]=" ","",HYPERLINK("https://www.ejacket.nsf.gov/ej/showProposal.do?Continue=Y&amp;ID="&amp;BudgetsTable[[#This Row],[prop_id]],BudgetsTable[[#This Row],[prop_id]]))</f>
        <v/>
      </c>
      <c r="M337" s="15" t="str">
        <f>IF(BudgetsTable[[#This Row],[pi_last_name]]=" ","",HYPERLINK("https://www.ejacket.nsf.gov/ej/processReviewAnalysis.do?dispatch=add&amp;uniqId="&amp;BudgetsTable[[#This Row],[prop_id]]&amp;PO_id,"&gt;ra"))</f>
        <v/>
      </c>
      <c r="N337" s="128" t="s">
        <v>13</v>
      </c>
      <c r="O337" s="7" t="str">
        <f>IF(BudgetsTable[[#This Row],[pi_last_name]]=" ","",HYPERLINK("mailto:"&amp;BudgetsTable[[#This Row],[pi_email]]&amp;"&amp;subject=Your NSF Proposal:  "&amp;BudgetsTable[[#This Row],[prop_id]],BudgetsTable[[#This Row],[pi_email]]))</f>
        <v/>
      </c>
      <c r="P337" s="128" t="s">
        <v>13</v>
      </c>
      <c r="Q337" s="128">
        <v>1</v>
      </c>
      <c r="R337" s="128">
        <v>1.5</v>
      </c>
      <c r="S337" s="129">
        <v>0</v>
      </c>
      <c r="T337" s="129">
        <v>1920</v>
      </c>
      <c r="U337" s="129">
        <v>0</v>
      </c>
      <c r="V337" s="130">
        <v>87855</v>
      </c>
      <c r="W337" s="128">
        <v>0</v>
      </c>
      <c r="X337" s="128">
        <v>1</v>
      </c>
      <c r="Y337" s="131" t="str">
        <f ca="1">IF(ISBLANK(BudgetsTable[[#This Row],[budg_seq_yr]]),"FY"&amp;fiscalyear,"FY"&amp;fiscalyear-1+BudgetsTable[[#This Row],[budg_seq_yr]])</f>
        <v>FY18</v>
      </c>
      <c r="Z337" s="129">
        <v>87855</v>
      </c>
      <c r="AA337" s="128" t="s">
        <v>741</v>
      </c>
      <c r="AB337" s="128" t="s">
        <v>528</v>
      </c>
      <c r="AC337" s="126" t="s">
        <v>94</v>
      </c>
      <c r="AD337" s="128" t="s">
        <v>744</v>
      </c>
    </row>
    <row r="338" spans="1:30">
      <c r="A338" s="125" t="s">
        <v>541</v>
      </c>
      <c r="B338" s="126" t="s">
        <v>96</v>
      </c>
      <c r="C338" s="126">
        <f>C337+(BudgetsTable[[#This Row],[lead]]&lt;&gt;K337)</f>
        <v>71</v>
      </c>
      <c r="D338" s="126">
        <f>D337*(BudgetsTable[[#This Row],[lead]]=K337)+(BudgetsTable[[#This Row],[prop_id]]&lt;&gt;A337)</f>
        <v>1</v>
      </c>
      <c r="E338" s="127">
        <v>42930.554166666669</v>
      </c>
      <c r="F338" s="128" t="s">
        <v>242</v>
      </c>
      <c r="G338" s="128" t="s">
        <v>741</v>
      </c>
      <c r="H338" s="128" t="s">
        <v>528</v>
      </c>
      <c r="I338" s="126" t="s">
        <v>540</v>
      </c>
      <c r="J338" s="126" t="s">
        <v>13</v>
      </c>
      <c r="K338" s="128" t="s">
        <v>541</v>
      </c>
      <c r="L338" s="7" t="str">
        <f>IF(BudgetsTable[[#This Row],[pi_last_name]]=" ","",HYPERLINK("https://www.ejacket.nsf.gov/ej/showProposal.do?Continue=Y&amp;ID="&amp;BudgetsTable[[#This Row],[prop_id]],BudgetsTable[[#This Row],[prop_id]]))</f>
        <v/>
      </c>
      <c r="M338" s="15" t="str">
        <f>IF(BudgetsTable[[#This Row],[pi_last_name]]=" ","",HYPERLINK("https://www.ejacket.nsf.gov/ej/processReviewAnalysis.do?dispatch=add&amp;uniqId="&amp;BudgetsTable[[#This Row],[prop_id]]&amp;PO_id,"&gt;ra"))</f>
        <v/>
      </c>
      <c r="N338" s="128" t="s">
        <v>13</v>
      </c>
      <c r="O338" s="7" t="str">
        <f>IF(BudgetsTable[[#This Row],[pi_last_name]]=" ","",HYPERLINK("mailto:"&amp;BudgetsTable[[#This Row],[pi_email]]&amp;"&amp;subject=Your NSF Proposal:  "&amp;BudgetsTable[[#This Row],[prop_id]],BudgetsTable[[#This Row],[pi_email]]))</f>
        <v/>
      </c>
      <c r="P338" s="128" t="s">
        <v>13</v>
      </c>
      <c r="Q338" s="128">
        <v>1</v>
      </c>
      <c r="R338" s="128">
        <v>1.5</v>
      </c>
      <c r="S338" s="129">
        <v>0</v>
      </c>
      <c r="T338" s="129">
        <v>1920</v>
      </c>
      <c r="U338" s="129">
        <v>0</v>
      </c>
      <c r="V338" s="130">
        <v>90367</v>
      </c>
      <c r="W338" s="128">
        <v>0</v>
      </c>
      <c r="X338" s="128">
        <v>2</v>
      </c>
      <c r="Y338" s="131" t="str">
        <f ca="1">IF(ISBLANK(BudgetsTable[[#This Row],[budg_seq_yr]]),"FY"&amp;fiscalyear,"FY"&amp;fiscalyear-1+BudgetsTable[[#This Row],[budg_seq_yr]])</f>
        <v>FY19</v>
      </c>
      <c r="Z338" s="129">
        <v>90367</v>
      </c>
      <c r="AA338" s="128" t="s">
        <v>741</v>
      </c>
      <c r="AB338" s="128" t="s">
        <v>528</v>
      </c>
      <c r="AC338" s="126" t="s">
        <v>94</v>
      </c>
      <c r="AD338" s="128" t="s">
        <v>744</v>
      </c>
    </row>
    <row r="339" spans="1:30">
      <c r="A339" s="125" t="s">
        <v>541</v>
      </c>
      <c r="B339" s="126" t="s">
        <v>96</v>
      </c>
      <c r="C339" s="126">
        <f>C338+(BudgetsTable[[#This Row],[lead]]&lt;&gt;K338)</f>
        <v>71</v>
      </c>
      <c r="D339" s="126">
        <f>D338*(BudgetsTable[[#This Row],[lead]]=K338)+(BudgetsTable[[#This Row],[prop_id]]&lt;&gt;A338)</f>
        <v>1</v>
      </c>
      <c r="E339" s="127">
        <v>42930.554166666669</v>
      </c>
      <c r="F339" s="128" t="s">
        <v>242</v>
      </c>
      <c r="G339" s="128" t="s">
        <v>741</v>
      </c>
      <c r="H339" s="128" t="s">
        <v>528</v>
      </c>
      <c r="I339" s="126" t="s">
        <v>540</v>
      </c>
      <c r="J339" s="126" t="s">
        <v>13</v>
      </c>
      <c r="K339" s="128" t="s">
        <v>541</v>
      </c>
      <c r="L339" s="7" t="str">
        <f>IF(BudgetsTable[[#This Row],[pi_last_name]]=" ","",HYPERLINK("https://www.ejacket.nsf.gov/ej/showProposal.do?Continue=Y&amp;ID="&amp;BudgetsTable[[#This Row],[prop_id]],BudgetsTable[[#This Row],[prop_id]]))</f>
        <v/>
      </c>
      <c r="M339" s="15" t="str">
        <f>IF(BudgetsTable[[#This Row],[pi_last_name]]=" ","",HYPERLINK("https://www.ejacket.nsf.gov/ej/processReviewAnalysis.do?dispatch=add&amp;uniqId="&amp;BudgetsTable[[#This Row],[prop_id]]&amp;PO_id,"&gt;ra"))</f>
        <v/>
      </c>
      <c r="N339" s="128" t="s">
        <v>13</v>
      </c>
      <c r="O339" s="7" t="str">
        <f>IF(BudgetsTable[[#This Row],[pi_last_name]]=" ","",HYPERLINK("mailto:"&amp;BudgetsTable[[#This Row],[pi_email]]&amp;"&amp;subject=Your NSF Proposal:  "&amp;BudgetsTable[[#This Row],[prop_id]],BudgetsTable[[#This Row],[pi_email]]))</f>
        <v/>
      </c>
      <c r="P339" s="128" t="s">
        <v>13</v>
      </c>
      <c r="Q339" s="128">
        <v>1</v>
      </c>
      <c r="R339" s="128">
        <v>1.5</v>
      </c>
      <c r="S339" s="129">
        <v>0</v>
      </c>
      <c r="T339" s="129">
        <v>1920</v>
      </c>
      <c r="U339" s="129">
        <v>0</v>
      </c>
      <c r="V339" s="130">
        <v>94608</v>
      </c>
      <c r="W339" s="128">
        <v>0</v>
      </c>
      <c r="X339" s="128">
        <v>3</v>
      </c>
      <c r="Y339" s="131" t="str">
        <f ca="1">IF(ISBLANK(BudgetsTable[[#This Row],[budg_seq_yr]]),"FY"&amp;fiscalyear,"FY"&amp;fiscalyear-1+BudgetsTable[[#This Row],[budg_seq_yr]])</f>
        <v>FY20</v>
      </c>
      <c r="Z339" s="129">
        <v>94608</v>
      </c>
      <c r="AA339" s="128" t="s">
        <v>741</v>
      </c>
      <c r="AB339" s="128" t="s">
        <v>528</v>
      </c>
      <c r="AC339" s="126" t="s">
        <v>94</v>
      </c>
      <c r="AD339" s="128" t="s">
        <v>744</v>
      </c>
    </row>
    <row r="340" spans="1:30">
      <c r="A340" s="125" t="s">
        <v>541</v>
      </c>
      <c r="B340" s="126" t="s">
        <v>96</v>
      </c>
      <c r="C340" s="126">
        <f>C339+(BudgetsTable[[#This Row],[lead]]&lt;&gt;K339)</f>
        <v>71</v>
      </c>
      <c r="D340" s="126">
        <f>D339*(BudgetsTable[[#This Row],[lead]]=K339)+(BudgetsTable[[#This Row],[prop_id]]&lt;&gt;A339)</f>
        <v>1</v>
      </c>
      <c r="E340" s="127">
        <v>42930.554166666669</v>
      </c>
      <c r="F340" s="128" t="s">
        <v>242</v>
      </c>
      <c r="G340" s="128" t="s">
        <v>741</v>
      </c>
      <c r="H340" s="128" t="s">
        <v>528</v>
      </c>
      <c r="I340" s="126" t="s">
        <v>540</v>
      </c>
      <c r="J340" s="126" t="s">
        <v>13</v>
      </c>
      <c r="K340" s="128" t="s">
        <v>541</v>
      </c>
      <c r="L340" s="7" t="str">
        <f>IF(BudgetsTable[[#This Row],[pi_last_name]]=" ","",HYPERLINK("https://www.ejacket.nsf.gov/ej/showProposal.do?Continue=Y&amp;ID="&amp;BudgetsTable[[#This Row],[prop_id]],BudgetsTable[[#This Row],[prop_id]]))</f>
        <v/>
      </c>
      <c r="M340" s="15" t="str">
        <f>IF(BudgetsTable[[#This Row],[pi_last_name]]=" ","",HYPERLINK("https://www.ejacket.nsf.gov/ej/processReviewAnalysis.do?dispatch=add&amp;uniqId="&amp;BudgetsTable[[#This Row],[prop_id]]&amp;PO_id,"&gt;ra"))</f>
        <v/>
      </c>
      <c r="N340" s="128" t="s">
        <v>13</v>
      </c>
      <c r="O340" s="7" t="str">
        <f>IF(BudgetsTable[[#This Row],[pi_last_name]]=" ","",HYPERLINK("mailto:"&amp;BudgetsTable[[#This Row],[pi_email]]&amp;"&amp;subject=Your NSF Proposal:  "&amp;BudgetsTable[[#This Row],[prop_id]],BudgetsTable[[#This Row],[pi_email]]))</f>
        <v/>
      </c>
      <c r="P340" s="128" t="s">
        <v>13</v>
      </c>
      <c r="Q340" s="128">
        <v>1</v>
      </c>
      <c r="R340" s="128">
        <v>1.5</v>
      </c>
      <c r="S340" s="129">
        <v>0</v>
      </c>
      <c r="T340" s="129">
        <v>1920</v>
      </c>
      <c r="U340" s="129">
        <v>0</v>
      </c>
      <c r="V340" s="130">
        <v>97358</v>
      </c>
      <c r="W340" s="128">
        <v>0</v>
      </c>
      <c r="X340" s="128">
        <v>4</v>
      </c>
      <c r="Y340" s="131" t="str">
        <f ca="1">IF(ISBLANK(BudgetsTable[[#This Row],[budg_seq_yr]]),"FY"&amp;fiscalyear,"FY"&amp;fiscalyear-1+BudgetsTable[[#This Row],[budg_seq_yr]])</f>
        <v>FY21</v>
      </c>
      <c r="Z340" s="129">
        <v>97358</v>
      </c>
      <c r="AA340" s="128" t="s">
        <v>741</v>
      </c>
      <c r="AB340" s="128" t="s">
        <v>528</v>
      </c>
      <c r="AC340" s="126" t="s">
        <v>94</v>
      </c>
      <c r="AD340" s="128" t="s">
        <v>744</v>
      </c>
    </row>
    <row r="341" spans="1:30">
      <c r="A341" s="125" t="s">
        <v>541</v>
      </c>
      <c r="B341" s="126" t="s">
        <v>96</v>
      </c>
      <c r="C341" s="126">
        <f>C340+(BudgetsTable[[#This Row],[lead]]&lt;&gt;K340)</f>
        <v>71</v>
      </c>
      <c r="D341" s="126">
        <f>D340*(BudgetsTable[[#This Row],[lead]]=K340)+(BudgetsTable[[#This Row],[prop_id]]&lt;&gt;A340)</f>
        <v>1</v>
      </c>
      <c r="E341" s="127">
        <v>42930.554166666669</v>
      </c>
      <c r="F341" s="128" t="s">
        <v>242</v>
      </c>
      <c r="G341" s="128" t="s">
        <v>741</v>
      </c>
      <c r="H341" s="128" t="s">
        <v>528</v>
      </c>
      <c r="I341" s="126" t="s">
        <v>540</v>
      </c>
      <c r="J341" s="126" t="s">
        <v>13</v>
      </c>
      <c r="K341" s="128" t="s">
        <v>541</v>
      </c>
      <c r="L341" s="7" t="str">
        <f>IF(BudgetsTable[[#This Row],[pi_last_name]]=" ","",HYPERLINK("https://www.ejacket.nsf.gov/ej/showProposal.do?Continue=Y&amp;ID="&amp;BudgetsTable[[#This Row],[prop_id]],BudgetsTable[[#This Row],[prop_id]]))</f>
        <v/>
      </c>
      <c r="M341" s="15" t="str">
        <f>IF(BudgetsTable[[#This Row],[pi_last_name]]=" ","",HYPERLINK("https://www.ejacket.nsf.gov/ej/processReviewAnalysis.do?dispatch=add&amp;uniqId="&amp;BudgetsTable[[#This Row],[prop_id]]&amp;PO_id,"&gt;ra"))</f>
        <v/>
      </c>
      <c r="N341" s="128" t="s">
        <v>13</v>
      </c>
      <c r="O341" s="7" t="str">
        <f>IF(BudgetsTable[[#This Row],[pi_last_name]]=" ","",HYPERLINK("mailto:"&amp;BudgetsTable[[#This Row],[pi_email]]&amp;"&amp;subject=Your NSF Proposal:  "&amp;BudgetsTable[[#This Row],[prop_id]],BudgetsTable[[#This Row],[pi_email]]))</f>
        <v/>
      </c>
      <c r="P341" s="128" t="s">
        <v>13</v>
      </c>
      <c r="Q341" s="128">
        <v>1</v>
      </c>
      <c r="R341" s="128">
        <v>1.5</v>
      </c>
      <c r="S341" s="129">
        <v>0</v>
      </c>
      <c r="T341" s="129">
        <v>1920</v>
      </c>
      <c r="U341" s="129">
        <v>0</v>
      </c>
      <c r="V341" s="130">
        <v>100212</v>
      </c>
      <c r="W341" s="128">
        <v>0</v>
      </c>
      <c r="X341" s="128">
        <v>5</v>
      </c>
      <c r="Y341" s="131" t="str">
        <f ca="1">IF(ISBLANK(BudgetsTable[[#This Row],[budg_seq_yr]]),"FY"&amp;fiscalyear,"FY"&amp;fiscalyear-1+BudgetsTable[[#This Row],[budg_seq_yr]])</f>
        <v>FY22</v>
      </c>
      <c r="Z341" s="129">
        <v>100212</v>
      </c>
      <c r="AA341" s="128" t="s">
        <v>741</v>
      </c>
      <c r="AB341" s="128" t="s">
        <v>528</v>
      </c>
      <c r="AC341" s="126" t="s">
        <v>94</v>
      </c>
      <c r="AD341" s="128" t="s">
        <v>744</v>
      </c>
    </row>
    <row r="342" spans="1:30">
      <c r="A342" s="125" t="s">
        <v>1486</v>
      </c>
      <c r="B342" s="126" t="s">
        <v>96</v>
      </c>
      <c r="C342" s="126">
        <f>C341+(BudgetsTable[[#This Row],[lead]]&lt;&gt;K341)</f>
        <v>72</v>
      </c>
      <c r="D342" s="126">
        <f>D341*(BudgetsTable[[#This Row],[lead]]=K341)+(BudgetsTable[[#This Row],[prop_id]]&lt;&gt;A341)</f>
        <v>1</v>
      </c>
      <c r="E342" s="127">
        <v>42933.444444444445</v>
      </c>
      <c r="F342" s="128" t="s">
        <v>242</v>
      </c>
      <c r="G342" s="128" t="s">
        <v>2348</v>
      </c>
      <c r="H342" s="128" t="s">
        <v>903</v>
      </c>
      <c r="I342" s="126" t="s">
        <v>1488</v>
      </c>
      <c r="J342" s="126" t="s">
        <v>2069</v>
      </c>
      <c r="K342" s="128" t="s">
        <v>1486</v>
      </c>
      <c r="L342" s="7" t="str">
        <f>IF(BudgetsTable[[#This Row],[pi_last_name]]=" ","",HYPERLINK("https://www.ejacket.nsf.gov/ej/showProposal.do?Continue=Y&amp;ID="&amp;BudgetsTable[[#This Row],[prop_id]],BudgetsTable[[#This Row],[prop_id]]))</f>
        <v>1749315</v>
      </c>
      <c r="M342" s="15" t="str">
        <f>IF(BudgetsTable[[#This Row],[pi_last_name]]=" ","",HYPERLINK("https://www.ejacket.nsf.gov/ej/processReviewAnalysis.do?dispatch=add&amp;uniqId="&amp;BudgetsTable[[#This Row],[prop_id]]&amp;PO_id,"&gt;ra"))</f>
        <v>&gt;ra</v>
      </c>
      <c r="N342" s="128" t="s">
        <v>1065</v>
      </c>
      <c r="O342" s="7" t="str">
        <f>IF(BudgetsTable[[#This Row],[pi_last_name]]=" ","",HYPERLINK("mailto:"&amp;BudgetsTable[[#This Row],[pi_email]]&amp;"&amp;subject=Your NSF Proposal:  "&amp;BudgetsTable[[#This Row],[prop_id]],BudgetsTable[[#This Row],[pi_email]]))</f>
        <v>tianbao-yang@uiowa.edu</v>
      </c>
      <c r="P342" s="128" t="s">
        <v>2067</v>
      </c>
      <c r="Q342" s="128"/>
      <c r="R342" s="128"/>
      <c r="S342" s="129"/>
      <c r="T342" s="129"/>
      <c r="U342" s="129"/>
      <c r="V342" s="130"/>
      <c r="W342" s="128">
        <v>0</v>
      </c>
      <c r="X342" s="128"/>
      <c r="Y342" s="131" t="str">
        <f ca="1">IF(ISBLANK(BudgetsTable[[#This Row],[budg_seq_yr]]),"FY"&amp;fiscalyear,"FY"&amp;fiscalyear-1+BudgetsTable[[#This Row],[budg_seq_yr]])</f>
        <v>FY18</v>
      </c>
      <c r="Z342" s="129">
        <v>543913</v>
      </c>
      <c r="AA342" s="128" t="s">
        <v>2348</v>
      </c>
      <c r="AB342" s="128" t="s">
        <v>903</v>
      </c>
      <c r="AC342" s="126" t="s">
        <v>94</v>
      </c>
      <c r="AD342" s="128" t="s">
        <v>2350</v>
      </c>
    </row>
    <row r="343" spans="1:30">
      <c r="A343" s="125" t="s">
        <v>1486</v>
      </c>
      <c r="B343" s="126" t="s">
        <v>96</v>
      </c>
      <c r="C343" s="126">
        <f>C342+(BudgetsTable[[#This Row],[lead]]&lt;&gt;K342)</f>
        <v>72</v>
      </c>
      <c r="D343" s="126">
        <f>D342*(BudgetsTable[[#This Row],[lead]]=K342)+(BudgetsTable[[#This Row],[prop_id]]&lt;&gt;A342)</f>
        <v>1</v>
      </c>
      <c r="E343" s="127">
        <v>42933.444444444445</v>
      </c>
      <c r="F343" s="128" t="s">
        <v>242</v>
      </c>
      <c r="G343" s="128" t="s">
        <v>2348</v>
      </c>
      <c r="H343" s="128" t="s">
        <v>903</v>
      </c>
      <c r="I343" s="126" t="s">
        <v>1488</v>
      </c>
      <c r="J343" s="126" t="s">
        <v>13</v>
      </c>
      <c r="K343" s="128" t="s">
        <v>1486</v>
      </c>
      <c r="L343" s="7" t="str">
        <f>IF(BudgetsTable[[#This Row],[pi_last_name]]=" ","",HYPERLINK("https://www.ejacket.nsf.gov/ej/showProposal.do?Continue=Y&amp;ID="&amp;BudgetsTable[[#This Row],[prop_id]],BudgetsTable[[#This Row],[prop_id]]))</f>
        <v/>
      </c>
      <c r="M343" s="15" t="str">
        <f>IF(BudgetsTable[[#This Row],[pi_last_name]]=" ","",HYPERLINK("https://www.ejacket.nsf.gov/ej/processReviewAnalysis.do?dispatch=add&amp;uniqId="&amp;BudgetsTable[[#This Row],[prop_id]]&amp;PO_id,"&gt;ra"))</f>
        <v/>
      </c>
      <c r="N343" s="128" t="s">
        <v>13</v>
      </c>
      <c r="O343" s="7" t="str">
        <f>IF(BudgetsTable[[#This Row],[pi_last_name]]=" ","",HYPERLINK("mailto:"&amp;BudgetsTable[[#This Row],[pi_email]]&amp;"&amp;subject=Your NSF Proposal:  "&amp;BudgetsTable[[#This Row],[prop_id]],BudgetsTable[[#This Row],[pi_email]]))</f>
        <v/>
      </c>
      <c r="P343" s="128" t="s">
        <v>13</v>
      </c>
      <c r="Q343" s="128">
        <v>1</v>
      </c>
      <c r="R343" s="128">
        <v>1</v>
      </c>
      <c r="S343" s="129">
        <v>0</v>
      </c>
      <c r="T343" s="129">
        <v>3100</v>
      </c>
      <c r="U343" s="129">
        <v>0</v>
      </c>
      <c r="V343" s="130">
        <v>106662</v>
      </c>
      <c r="W343" s="128">
        <v>0</v>
      </c>
      <c r="X343" s="128">
        <v>1</v>
      </c>
      <c r="Y343" s="131" t="str">
        <f ca="1">IF(ISBLANK(BudgetsTable[[#This Row],[budg_seq_yr]]),"FY"&amp;fiscalyear,"FY"&amp;fiscalyear-1+BudgetsTable[[#This Row],[budg_seq_yr]])</f>
        <v>FY18</v>
      </c>
      <c r="Z343" s="129">
        <v>106662</v>
      </c>
      <c r="AA343" s="128" t="s">
        <v>2348</v>
      </c>
      <c r="AB343" s="128" t="s">
        <v>903</v>
      </c>
      <c r="AC343" s="126" t="s">
        <v>94</v>
      </c>
      <c r="AD343" s="128" t="s">
        <v>2350</v>
      </c>
    </row>
    <row r="344" spans="1:30">
      <c r="A344" s="125" t="s">
        <v>1486</v>
      </c>
      <c r="B344" s="126" t="s">
        <v>96</v>
      </c>
      <c r="C344" s="126">
        <f>C343+(BudgetsTable[[#This Row],[lead]]&lt;&gt;K343)</f>
        <v>72</v>
      </c>
      <c r="D344" s="126">
        <f>D343*(BudgetsTable[[#This Row],[lead]]=K343)+(BudgetsTable[[#This Row],[prop_id]]&lt;&gt;A343)</f>
        <v>1</v>
      </c>
      <c r="E344" s="127">
        <v>42933.444444444445</v>
      </c>
      <c r="F344" s="128" t="s">
        <v>242</v>
      </c>
      <c r="G344" s="128" t="s">
        <v>2348</v>
      </c>
      <c r="H344" s="128" t="s">
        <v>903</v>
      </c>
      <c r="I344" s="126" t="s">
        <v>1488</v>
      </c>
      <c r="J344" s="126" t="s">
        <v>13</v>
      </c>
      <c r="K344" s="128" t="s">
        <v>1486</v>
      </c>
      <c r="L344" s="7" t="str">
        <f>IF(BudgetsTable[[#This Row],[pi_last_name]]=" ","",HYPERLINK("https://www.ejacket.nsf.gov/ej/showProposal.do?Continue=Y&amp;ID="&amp;BudgetsTable[[#This Row],[prop_id]],BudgetsTable[[#This Row],[prop_id]]))</f>
        <v/>
      </c>
      <c r="M344" s="15" t="str">
        <f>IF(BudgetsTable[[#This Row],[pi_last_name]]=" ","",HYPERLINK("https://www.ejacket.nsf.gov/ej/processReviewAnalysis.do?dispatch=add&amp;uniqId="&amp;BudgetsTable[[#This Row],[prop_id]]&amp;PO_id,"&gt;ra"))</f>
        <v/>
      </c>
      <c r="N344" s="128" t="s">
        <v>13</v>
      </c>
      <c r="O344" s="7" t="str">
        <f>IF(BudgetsTable[[#This Row],[pi_last_name]]=" ","",HYPERLINK("mailto:"&amp;BudgetsTable[[#This Row],[pi_email]]&amp;"&amp;subject=Your NSF Proposal:  "&amp;BudgetsTable[[#This Row],[prop_id]],BudgetsTable[[#This Row],[pi_email]]))</f>
        <v/>
      </c>
      <c r="P344" s="128" t="s">
        <v>13</v>
      </c>
      <c r="Q344" s="128">
        <v>1</v>
      </c>
      <c r="R344" s="128">
        <v>1</v>
      </c>
      <c r="S344" s="129">
        <v>0</v>
      </c>
      <c r="T344" s="129">
        <v>3100</v>
      </c>
      <c r="U344" s="129">
        <v>0</v>
      </c>
      <c r="V344" s="130">
        <v>103956</v>
      </c>
      <c r="W344" s="128">
        <v>0</v>
      </c>
      <c r="X344" s="128">
        <v>2</v>
      </c>
      <c r="Y344" s="131" t="str">
        <f ca="1">IF(ISBLANK(BudgetsTable[[#This Row],[budg_seq_yr]]),"FY"&amp;fiscalyear,"FY"&amp;fiscalyear-1+BudgetsTable[[#This Row],[budg_seq_yr]])</f>
        <v>FY19</v>
      </c>
      <c r="Z344" s="129">
        <v>103956</v>
      </c>
      <c r="AA344" s="128" t="s">
        <v>2348</v>
      </c>
      <c r="AB344" s="128" t="s">
        <v>903</v>
      </c>
      <c r="AC344" s="126" t="s">
        <v>94</v>
      </c>
      <c r="AD344" s="128" t="s">
        <v>2350</v>
      </c>
    </row>
    <row r="345" spans="1:30">
      <c r="A345" s="125" t="s">
        <v>1486</v>
      </c>
      <c r="B345" s="126" t="s">
        <v>96</v>
      </c>
      <c r="C345" s="126">
        <f>C344+(BudgetsTable[[#This Row],[lead]]&lt;&gt;K344)</f>
        <v>72</v>
      </c>
      <c r="D345" s="126">
        <f>D344*(BudgetsTable[[#This Row],[lead]]=K344)+(BudgetsTable[[#This Row],[prop_id]]&lt;&gt;A344)</f>
        <v>1</v>
      </c>
      <c r="E345" s="127">
        <v>42933.444444444445</v>
      </c>
      <c r="F345" s="128" t="s">
        <v>242</v>
      </c>
      <c r="G345" s="128" t="s">
        <v>2348</v>
      </c>
      <c r="H345" s="128" t="s">
        <v>903</v>
      </c>
      <c r="I345" s="126" t="s">
        <v>1488</v>
      </c>
      <c r="J345" s="126" t="s">
        <v>13</v>
      </c>
      <c r="K345" s="128" t="s">
        <v>1486</v>
      </c>
      <c r="L345" s="7" t="str">
        <f>IF(BudgetsTable[[#This Row],[pi_last_name]]=" ","",HYPERLINK("https://www.ejacket.nsf.gov/ej/showProposal.do?Continue=Y&amp;ID="&amp;BudgetsTable[[#This Row],[prop_id]],BudgetsTable[[#This Row],[prop_id]]))</f>
        <v/>
      </c>
      <c r="M345" s="15" t="str">
        <f>IF(BudgetsTable[[#This Row],[pi_last_name]]=" ","",HYPERLINK("https://www.ejacket.nsf.gov/ej/processReviewAnalysis.do?dispatch=add&amp;uniqId="&amp;BudgetsTable[[#This Row],[prop_id]]&amp;PO_id,"&gt;ra"))</f>
        <v/>
      </c>
      <c r="N345" s="128" t="s">
        <v>13</v>
      </c>
      <c r="O345" s="7" t="str">
        <f>IF(BudgetsTable[[#This Row],[pi_last_name]]=" ","",HYPERLINK("mailto:"&amp;BudgetsTable[[#This Row],[pi_email]]&amp;"&amp;subject=Your NSF Proposal:  "&amp;BudgetsTable[[#This Row],[prop_id]],BudgetsTable[[#This Row],[pi_email]]))</f>
        <v/>
      </c>
      <c r="P345" s="128" t="s">
        <v>13</v>
      </c>
      <c r="Q345" s="128">
        <v>1</v>
      </c>
      <c r="R345" s="128">
        <v>1</v>
      </c>
      <c r="S345" s="129">
        <v>0</v>
      </c>
      <c r="T345" s="129">
        <v>3100</v>
      </c>
      <c r="U345" s="129">
        <v>0</v>
      </c>
      <c r="V345" s="130">
        <v>108740</v>
      </c>
      <c r="W345" s="128">
        <v>0</v>
      </c>
      <c r="X345" s="128">
        <v>3</v>
      </c>
      <c r="Y345" s="131" t="str">
        <f ca="1">IF(ISBLANK(BudgetsTable[[#This Row],[budg_seq_yr]]),"FY"&amp;fiscalyear,"FY"&amp;fiscalyear-1+BudgetsTable[[#This Row],[budg_seq_yr]])</f>
        <v>FY20</v>
      </c>
      <c r="Z345" s="129">
        <v>108740</v>
      </c>
      <c r="AA345" s="128" t="s">
        <v>2348</v>
      </c>
      <c r="AB345" s="128" t="s">
        <v>903</v>
      </c>
      <c r="AC345" s="126" t="s">
        <v>94</v>
      </c>
      <c r="AD345" s="128" t="s">
        <v>2350</v>
      </c>
    </row>
    <row r="346" spans="1:30">
      <c r="A346" s="125" t="s">
        <v>1486</v>
      </c>
      <c r="B346" s="126" t="s">
        <v>96</v>
      </c>
      <c r="C346" s="126">
        <f>C345+(BudgetsTable[[#This Row],[lead]]&lt;&gt;K345)</f>
        <v>72</v>
      </c>
      <c r="D346" s="126">
        <f>D345*(BudgetsTable[[#This Row],[lead]]=K345)+(BudgetsTable[[#This Row],[prop_id]]&lt;&gt;A345)</f>
        <v>1</v>
      </c>
      <c r="E346" s="127">
        <v>42933.444444444445</v>
      </c>
      <c r="F346" s="128" t="s">
        <v>242</v>
      </c>
      <c r="G346" s="128" t="s">
        <v>2348</v>
      </c>
      <c r="H346" s="128" t="s">
        <v>903</v>
      </c>
      <c r="I346" s="126" t="s">
        <v>1488</v>
      </c>
      <c r="J346" s="126" t="s">
        <v>13</v>
      </c>
      <c r="K346" s="128" t="s">
        <v>1486</v>
      </c>
      <c r="L346" s="7" t="str">
        <f>IF(BudgetsTable[[#This Row],[pi_last_name]]=" ","",HYPERLINK("https://www.ejacket.nsf.gov/ej/showProposal.do?Continue=Y&amp;ID="&amp;BudgetsTable[[#This Row],[prop_id]],BudgetsTable[[#This Row],[prop_id]]))</f>
        <v/>
      </c>
      <c r="M346" s="15" t="str">
        <f>IF(BudgetsTable[[#This Row],[pi_last_name]]=" ","",HYPERLINK("https://www.ejacket.nsf.gov/ej/processReviewAnalysis.do?dispatch=add&amp;uniqId="&amp;BudgetsTable[[#This Row],[prop_id]]&amp;PO_id,"&gt;ra"))</f>
        <v/>
      </c>
      <c r="N346" s="128" t="s">
        <v>13</v>
      </c>
      <c r="O346" s="7" t="str">
        <f>IF(BudgetsTable[[#This Row],[pi_last_name]]=" ","",HYPERLINK("mailto:"&amp;BudgetsTable[[#This Row],[pi_email]]&amp;"&amp;subject=Your NSF Proposal:  "&amp;BudgetsTable[[#This Row],[prop_id]],BudgetsTable[[#This Row],[pi_email]]))</f>
        <v/>
      </c>
      <c r="P346" s="128" t="s">
        <v>13</v>
      </c>
      <c r="Q346" s="128">
        <v>1</v>
      </c>
      <c r="R346" s="128">
        <v>1</v>
      </c>
      <c r="S346" s="129">
        <v>0</v>
      </c>
      <c r="T346" s="129">
        <v>3100</v>
      </c>
      <c r="U346" s="129">
        <v>0</v>
      </c>
      <c r="V346" s="130">
        <v>111704</v>
      </c>
      <c r="W346" s="128">
        <v>0</v>
      </c>
      <c r="X346" s="128">
        <v>4</v>
      </c>
      <c r="Y346" s="131" t="str">
        <f ca="1">IF(ISBLANK(BudgetsTable[[#This Row],[budg_seq_yr]]),"FY"&amp;fiscalyear,"FY"&amp;fiscalyear-1+BudgetsTable[[#This Row],[budg_seq_yr]])</f>
        <v>FY21</v>
      </c>
      <c r="Z346" s="129">
        <v>111704</v>
      </c>
      <c r="AA346" s="128" t="s">
        <v>2348</v>
      </c>
      <c r="AB346" s="128" t="s">
        <v>903</v>
      </c>
      <c r="AC346" s="126" t="s">
        <v>94</v>
      </c>
      <c r="AD346" s="128" t="s">
        <v>2350</v>
      </c>
    </row>
    <row r="347" spans="1:30">
      <c r="A347" s="125" t="s">
        <v>1486</v>
      </c>
      <c r="B347" s="126" t="s">
        <v>96</v>
      </c>
      <c r="C347" s="126">
        <f>C346+(BudgetsTable[[#This Row],[lead]]&lt;&gt;K346)</f>
        <v>72</v>
      </c>
      <c r="D347" s="126">
        <f>D346*(BudgetsTable[[#This Row],[lead]]=K346)+(BudgetsTable[[#This Row],[prop_id]]&lt;&gt;A346)</f>
        <v>1</v>
      </c>
      <c r="E347" s="127">
        <v>42933.444444444445</v>
      </c>
      <c r="F347" s="128" t="s">
        <v>242</v>
      </c>
      <c r="G347" s="128" t="s">
        <v>2348</v>
      </c>
      <c r="H347" s="128" t="s">
        <v>903</v>
      </c>
      <c r="I347" s="126" t="s">
        <v>1488</v>
      </c>
      <c r="J347" s="126" t="s">
        <v>13</v>
      </c>
      <c r="K347" s="128" t="s">
        <v>1486</v>
      </c>
      <c r="L347" s="7" t="str">
        <f>IF(BudgetsTable[[#This Row],[pi_last_name]]=" ","",HYPERLINK("https://www.ejacket.nsf.gov/ej/showProposal.do?Continue=Y&amp;ID="&amp;BudgetsTable[[#This Row],[prop_id]],BudgetsTable[[#This Row],[prop_id]]))</f>
        <v/>
      </c>
      <c r="M347" s="15" t="str">
        <f>IF(BudgetsTable[[#This Row],[pi_last_name]]=" ","",HYPERLINK("https://www.ejacket.nsf.gov/ej/processReviewAnalysis.do?dispatch=add&amp;uniqId="&amp;BudgetsTable[[#This Row],[prop_id]]&amp;PO_id,"&gt;ra"))</f>
        <v/>
      </c>
      <c r="N347" s="128" t="s">
        <v>13</v>
      </c>
      <c r="O347" s="7" t="str">
        <f>IF(BudgetsTable[[#This Row],[pi_last_name]]=" ","",HYPERLINK("mailto:"&amp;BudgetsTable[[#This Row],[pi_email]]&amp;"&amp;subject=Your NSF Proposal:  "&amp;BudgetsTable[[#This Row],[prop_id]],BudgetsTable[[#This Row],[pi_email]]))</f>
        <v/>
      </c>
      <c r="P347" s="128" t="s">
        <v>13</v>
      </c>
      <c r="Q347" s="128">
        <v>1</v>
      </c>
      <c r="R347" s="128">
        <v>1</v>
      </c>
      <c r="S347" s="129">
        <v>0</v>
      </c>
      <c r="T347" s="129">
        <v>3100</v>
      </c>
      <c r="U347" s="129">
        <v>0</v>
      </c>
      <c r="V347" s="130">
        <v>112851</v>
      </c>
      <c r="W347" s="128">
        <v>0</v>
      </c>
      <c r="X347" s="128">
        <v>5</v>
      </c>
      <c r="Y347" s="131" t="str">
        <f ca="1">IF(ISBLANK(BudgetsTable[[#This Row],[budg_seq_yr]]),"FY"&amp;fiscalyear,"FY"&amp;fiscalyear-1+BudgetsTable[[#This Row],[budg_seq_yr]])</f>
        <v>FY22</v>
      </c>
      <c r="Z347" s="129">
        <v>112851</v>
      </c>
      <c r="AA347" s="128" t="s">
        <v>2348</v>
      </c>
      <c r="AB347" s="128" t="s">
        <v>903</v>
      </c>
      <c r="AC347" s="126" t="s">
        <v>94</v>
      </c>
      <c r="AD347" s="128" t="s">
        <v>2350</v>
      </c>
    </row>
    <row r="348" spans="1:30">
      <c r="A348" s="125" t="s">
        <v>565</v>
      </c>
      <c r="B348" s="126" t="s">
        <v>96</v>
      </c>
      <c r="C348" s="126">
        <f>C347+(BudgetsTable[[#This Row],[lead]]&lt;&gt;K347)</f>
        <v>73</v>
      </c>
      <c r="D348" s="126">
        <f>D347*(BudgetsTable[[#This Row],[lead]]=K347)+(BudgetsTable[[#This Row],[prop_id]]&lt;&gt;A347)</f>
        <v>1</v>
      </c>
      <c r="E348" s="127">
        <v>42933.547222222223</v>
      </c>
      <c r="F348" s="128" t="s">
        <v>242</v>
      </c>
      <c r="G348" s="128" t="s">
        <v>741</v>
      </c>
      <c r="H348" s="128" t="s">
        <v>528</v>
      </c>
      <c r="I348" s="126" t="s">
        <v>540</v>
      </c>
      <c r="J348" s="126" t="s">
        <v>756</v>
      </c>
      <c r="K348" s="128" t="s">
        <v>565</v>
      </c>
      <c r="L348" s="7" t="str">
        <f>IF(BudgetsTable[[#This Row],[pi_last_name]]=" ","",HYPERLINK("https://www.ejacket.nsf.gov/ej/showProposal.do?Continue=Y&amp;ID="&amp;BudgetsTable[[#This Row],[prop_id]],BudgetsTable[[#This Row],[prop_id]]))</f>
        <v>1749385</v>
      </c>
      <c r="M348" s="15" t="str">
        <f>IF(BudgetsTable[[#This Row],[pi_last_name]]=" ","",HYPERLINK("https://www.ejacket.nsf.gov/ej/processReviewAnalysis.do?dispatch=add&amp;uniqId="&amp;BudgetsTable[[#This Row],[prop_id]]&amp;PO_id,"&gt;ra"))</f>
        <v>&gt;ra</v>
      </c>
      <c r="N348" s="128" t="s">
        <v>336</v>
      </c>
      <c r="O348" s="7" t="str">
        <f>IF(BudgetsTable[[#This Row],[pi_last_name]]=" ","",HYPERLINK("mailto:"&amp;BudgetsTable[[#This Row],[pi_email]]&amp;"&amp;subject=Your NSF Proposal:  "&amp;BudgetsTable[[#This Row],[prop_id]],BudgetsTable[[#This Row],[pi_email]]))</f>
        <v>haitao.wang@usu.edu</v>
      </c>
      <c r="P348" s="128" t="s">
        <v>753</v>
      </c>
      <c r="Q348" s="128"/>
      <c r="R348" s="128"/>
      <c r="S348" s="129"/>
      <c r="T348" s="129"/>
      <c r="U348" s="129"/>
      <c r="V348" s="130"/>
      <c r="W348" s="128">
        <v>0</v>
      </c>
      <c r="X348" s="128"/>
      <c r="Y348" s="131" t="str">
        <f ca="1">IF(ISBLANK(BudgetsTable[[#This Row],[budg_seq_yr]]),"FY"&amp;fiscalyear,"FY"&amp;fiscalyear-1+BudgetsTable[[#This Row],[budg_seq_yr]])</f>
        <v>FY18</v>
      </c>
      <c r="Z348" s="129">
        <v>524898</v>
      </c>
      <c r="AA348" s="128" t="s">
        <v>741</v>
      </c>
      <c r="AB348" s="128" t="s">
        <v>528</v>
      </c>
      <c r="AC348" s="126" t="s">
        <v>94</v>
      </c>
      <c r="AD348" s="128" t="s">
        <v>751</v>
      </c>
    </row>
    <row r="349" spans="1:30">
      <c r="A349" s="125" t="s">
        <v>565</v>
      </c>
      <c r="B349" s="126" t="s">
        <v>96</v>
      </c>
      <c r="C349" s="126">
        <f>C348+(BudgetsTable[[#This Row],[lead]]&lt;&gt;K348)</f>
        <v>73</v>
      </c>
      <c r="D349" s="126">
        <f>D348*(BudgetsTable[[#This Row],[lead]]=K348)+(BudgetsTable[[#This Row],[prop_id]]&lt;&gt;A348)</f>
        <v>1</v>
      </c>
      <c r="E349" s="127">
        <v>42933.547222222223</v>
      </c>
      <c r="F349" s="128" t="s">
        <v>242</v>
      </c>
      <c r="G349" s="128" t="s">
        <v>741</v>
      </c>
      <c r="H349" s="128" t="s">
        <v>528</v>
      </c>
      <c r="I349" s="126" t="s">
        <v>540</v>
      </c>
      <c r="J349" s="126" t="s">
        <v>13</v>
      </c>
      <c r="K349" s="128" t="s">
        <v>565</v>
      </c>
      <c r="L349" s="7" t="str">
        <f>IF(BudgetsTable[[#This Row],[pi_last_name]]=" ","",HYPERLINK("https://www.ejacket.nsf.gov/ej/showProposal.do?Continue=Y&amp;ID="&amp;BudgetsTable[[#This Row],[prop_id]],BudgetsTable[[#This Row],[prop_id]]))</f>
        <v/>
      </c>
      <c r="M349" s="15" t="str">
        <f>IF(BudgetsTable[[#This Row],[pi_last_name]]=" ","",HYPERLINK("https://www.ejacket.nsf.gov/ej/processReviewAnalysis.do?dispatch=add&amp;uniqId="&amp;BudgetsTable[[#This Row],[prop_id]]&amp;PO_id,"&gt;ra"))</f>
        <v/>
      </c>
      <c r="N349" s="128" t="s">
        <v>13</v>
      </c>
      <c r="O349" s="7" t="str">
        <f>IF(BudgetsTable[[#This Row],[pi_last_name]]=" ","",HYPERLINK("mailto:"&amp;BudgetsTable[[#This Row],[pi_email]]&amp;"&amp;subject=Your NSF Proposal:  "&amp;BudgetsTable[[#This Row],[prop_id]],BudgetsTable[[#This Row],[pi_email]]))</f>
        <v/>
      </c>
      <c r="P349" s="128" t="s">
        <v>13</v>
      </c>
      <c r="Q349" s="128">
        <v>1</v>
      </c>
      <c r="R349" s="128">
        <v>1</v>
      </c>
      <c r="S349" s="129">
        <v>0</v>
      </c>
      <c r="T349" s="129">
        <v>3000</v>
      </c>
      <c r="U349" s="129">
        <v>0</v>
      </c>
      <c r="V349" s="130">
        <v>101597</v>
      </c>
      <c r="W349" s="128">
        <v>0</v>
      </c>
      <c r="X349" s="128">
        <v>1</v>
      </c>
      <c r="Y349" s="131" t="str">
        <f ca="1">IF(ISBLANK(BudgetsTable[[#This Row],[budg_seq_yr]]),"FY"&amp;fiscalyear,"FY"&amp;fiscalyear-1+BudgetsTable[[#This Row],[budg_seq_yr]])</f>
        <v>FY18</v>
      </c>
      <c r="Z349" s="129">
        <v>101597</v>
      </c>
      <c r="AA349" s="128" t="s">
        <v>741</v>
      </c>
      <c r="AB349" s="128" t="s">
        <v>528</v>
      </c>
      <c r="AC349" s="126" t="s">
        <v>94</v>
      </c>
      <c r="AD349" s="128" t="s">
        <v>751</v>
      </c>
    </row>
    <row r="350" spans="1:30">
      <c r="A350" s="125" t="s">
        <v>565</v>
      </c>
      <c r="B350" s="126" t="s">
        <v>96</v>
      </c>
      <c r="C350" s="126">
        <f>C349+(BudgetsTable[[#This Row],[lead]]&lt;&gt;K349)</f>
        <v>73</v>
      </c>
      <c r="D350" s="126">
        <f>D349*(BudgetsTable[[#This Row],[lead]]=K349)+(BudgetsTable[[#This Row],[prop_id]]&lt;&gt;A349)</f>
        <v>1</v>
      </c>
      <c r="E350" s="127">
        <v>42933.547222222223</v>
      </c>
      <c r="F350" s="128" t="s">
        <v>242</v>
      </c>
      <c r="G350" s="128" t="s">
        <v>741</v>
      </c>
      <c r="H350" s="128" t="s">
        <v>528</v>
      </c>
      <c r="I350" s="126" t="s">
        <v>540</v>
      </c>
      <c r="J350" s="126" t="s">
        <v>13</v>
      </c>
      <c r="K350" s="128" t="s">
        <v>565</v>
      </c>
      <c r="L350" s="7" t="str">
        <f>IF(BudgetsTable[[#This Row],[pi_last_name]]=" ","",HYPERLINK("https://www.ejacket.nsf.gov/ej/showProposal.do?Continue=Y&amp;ID="&amp;BudgetsTable[[#This Row],[prop_id]],BudgetsTable[[#This Row],[prop_id]]))</f>
        <v/>
      </c>
      <c r="M350" s="15" t="str">
        <f>IF(BudgetsTable[[#This Row],[pi_last_name]]=" ","",HYPERLINK("https://www.ejacket.nsf.gov/ej/processReviewAnalysis.do?dispatch=add&amp;uniqId="&amp;BudgetsTable[[#This Row],[prop_id]]&amp;PO_id,"&gt;ra"))</f>
        <v/>
      </c>
      <c r="N350" s="128" t="s">
        <v>13</v>
      </c>
      <c r="O350" s="7" t="str">
        <f>IF(BudgetsTable[[#This Row],[pi_last_name]]=" ","",HYPERLINK("mailto:"&amp;BudgetsTable[[#This Row],[pi_email]]&amp;"&amp;subject=Your NSF Proposal:  "&amp;BudgetsTable[[#This Row],[prop_id]],BudgetsTable[[#This Row],[pi_email]]))</f>
        <v/>
      </c>
      <c r="P350" s="128" t="s">
        <v>13</v>
      </c>
      <c r="Q350" s="128">
        <v>1</v>
      </c>
      <c r="R350" s="128">
        <v>1</v>
      </c>
      <c r="S350" s="129">
        <v>0</v>
      </c>
      <c r="T350" s="129">
        <v>3000</v>
      </c>
      <c r="U350" s="129">
        <v>0</v>
      </c>
      <c r="V350" s="130">
        <v>103235</v>
      </c>
      <c r="W350" s="128">
        <v>0</v>
      </c>
      <c r="X350" s="128">
        <v>2</v>
      </c>
      <c r="Y350" s="131" t="str">
        <f ca="1">IF(ISBLANK(BudgetsTable[[#This Row],[budg_seq_yr]]),"FY"&amp;fiscalyear,"FY"&amp;fiscalyear-1+BudgetsTable[[#This Row],[budg_seq_yr]])</f>
        <v>FY19</v>
      </c>
      <c r="Z350" s="129">
        <v>103235</v>
      </c>
      <c r="AA350" s="128" t="s">
        <v>741</v>
      </c>
      <c r="AB350" s="128" t="s">
        <v>528</v>
      </c>
      <c r="AC350" s="126" t="s">
        <v>94</v>
      </c>
      <c r="AD350" s="128" t="s">
        <v>751</v>
      </c>
    </row>
    <row r="351" spans="1:30">
      <c r="A351" s="125" t="s">
        <v>565</v>
      </c>
      <c r="B351" s="126" t="s">
        <v>96</v>
      </c>
      <c r="C351" s="126">
        <f>C350+(BudgetsTable[[#This Row],[lead]]&lt;&gt;K350)</f>
        <v>73</v>
      </c>
      <c r="D351" s="126">
        <f>D350*(BudgetsTable[[#This Row],[lead]]=K350)+(BudgetsTable[[#This Row],[prop_id]]&lt;&gt;A350)</f>
        <v>1</v>
      </c>
      <c r="E351" s="127">
        <v>42933.547222222223</v>
      </c>
      <c r="F351" s="128" t="s">
        <v>242</v>
      </c>
      <c r="G351" s="128" t="s">
        <v>741</v>
      </c>
      <c r="H351" s="128" t="s">
        <v>528</v>
      </c>
      <c r="I351" s="126" t="s">
        <v>540</v>
      </c>
      <c r="J351" s="126" t="s">
        <v>13</v>
      </c>
      <c r="K351" s="128" t="s">
        <v>565</v>
      </c>
      <c r="L351" s="7" t="str">
        <f>IF(BudgetsTable[[#This Row],[pi_last_name]]=" ","",HYPERLINK("https://www.ejacket.nsf.gov/ej/showProposal.do?Continue=Y&amp;ID="&amp;BudgetsTable[[#This Row],[prop_id]],BudgetsTable[[#This Row],[prop_id]]))</f>
        <v/>
      </c>
      <c r="M351" s="15" t="str">
        <f>IF(BudgetsTable[[#This Row],[pi_last_name]]=" ","",HYPERLINK("https://www.ejacket.nsf.gov/ej/processReviewAnalysis.do?dispatch=add&amp;uniqId="&amp;BudgetsTable[[#This Row],[prop_id]]&amp;PO_id,"&gt;ra"))</f>
        <v/>
      </c>
      <c r="N351" s="128" t="s">
        <v>13</v>
      </c>
      <c r="O351" s="7" t="str">
        <f>IF(BudgetsTable[[#This Row],[pi_last_name]]=" ","",HYPERLINK("mailto:"&amp;BudgetsTable[[#This Row],[pi_email]]&amp;"&amp;subject=Your NSF Proposal:  "&amp;BudgetsTable[[#This Row],[prop_id]],BudgetsTable[[#This Row],[pi_email]]))</f>
        <v/>
      </c>
      <c r="P351" s="128" t="s">
        <v>13</v>
      </c>
      <c r="Q351" s="128">
        <v>1</v>
      </c>
      <c r="R351" s="128">
        <v>1</v>
      </c>
      <c r="S351" s="129">
        <v>0</v>
      </c>
      <c r="T351" s="129">
        <v>3000</v>
      </c>
      <c r="U351" s="129">
        <v>0</v>
      </c>
      <c r="V351" s="130">
        <v>104944</v>
      </c>
      <c r="W351" s="128">
        <v>0</v>
      </c>
      <c r="X351" s="128">
        <v>3</v>
      </c>
      <c r="Y351" s="131" t="str">
        <f ca="1">IF(ISBLANK(BudgetsTable[[#This Row],[budg_seq_yr]]),"FY"&amp;fiscalyear,"FY"&amp;fiscalyear-1+BudgetsTable[[#This Row],[budg_seq_yr]])</f>
        <v>FY20</v>
      </c>
      <c r="Z351" s="129">
        <v>104944</v>
      </c>
      <c r="AA351" s="128" t="s">
        <v>741</v>
      </c>
      <c r="AB351" s="128" t="s">
        <v>528</v>
      </c>
      <c r="AC351" s="126" t="s">
        <v>94</v>
      </c>
      <c r="AD351" s="128" t="s">
        <v>751</v>
      </c>
    </row>
    <row r="352" spans="1:30">
      <c r="A352" s="125" t="s">
        <v>565</v>
      </c>
      <c r="B352" s="126" t="s">
        <v>96</v>
      </c>
      <c r="C352" s="126">
        <f>C351+(BudgetsTable[[#This Row],[lead]]&lt;&gt;K351)</f>
        <v>73</v>
      </c>
      <c r="D352" s="126">
        <f>D351*(BudgetsTable[[#This Row],[lead]]=K351)+(BudgetsTable[[#This Row],[prop_id]]&lt;&gt;A351)</f>
        <v>1</v>
      </c>
      <c r="E352" s="127">
        <v>42933.547222222223</v>
      </c>
      <c r="F352" s="128" t="s">
        <v>242</v>
      </c>
      <c r="G352" s="128" t="s">
        <v>741</v>
      </c>
      <c r="H352" s="128" t="s">
        <v>528</v>
      </c>
      <c r="I352" s="126" t="s">
        <v>540</v>
      </c>
      <c r="J352" s="126" t="s">
        <v>13</v>
      </c>
      <c r="K352" s="128" t="s">
        <v>565</v>
      </c>
      <c r="L352" s="7" t="str">
        <f>IF(BudgetsTable[[#This Row],[pi_last_name]]=" ","",HYPERLINK("https://www.ejacket.nsf.gov/ej/showProposal.do?Continue=Y&amp;ID="&amp;BudgetsTable[[#This Row],[prop_id]],BudgetsTable[[#This Row],[prop_id]]))</f>
        <v/>
      </c>
      <c r="M352" s="15" t="str">
        <f>IF(BudgetsTable[[#This Row],[pi_last_name]]=" ","",HYPERLINK("https://www.ejacket.nsf.gov/ej/processReviewAnalysis.do?dispatch=add&amp;uniqId="&amp;BudgetsTable[[#This Row],[prop_id]]&amp;PO_id,"&gt;ra"))</f>
        <v/>
      </c>
      <c r="N352" s="128" t="s">
        <v>13</v>
      </c>
      <c r="O352" s="7" t="str">
        <f>IF(BudgetsTable[[#This Row],[pi_last_name]]=" ","",HYPERLINK("mailto:"&amp;BudgetsTable[[#This Row],[pi_email]]&amp;"&amp;subject=Your NSF Proposal:  "&amp;BudgetsTable[[#This Row],[prop_id]],BudgetsTable[[#This Row],[pi_email]]))</f>
        <v/>
      </c>
      <c r="P352" s="128" t="s">
        <v>13</v>
      </c>
      <c r="Q352" s="128">
        <v>1</v>
      </c>
      <c r="R352" s="128">
        <v>1</v>
      </c>
      <c r="S352" s="129">
        <v>0</v>
      </c>
      <c r="T352" s="129">
        <v>3000</v>
      </c>
      <c r="U352" s="129">
        <v>0</v>
      </c>
      <c r="V352" s="130">
        <v>106666</v>
      </c>
      <c r="W352" s="128">
        <v>0</v>
      </c>
      <c r="X352" s="128">
        <v>4</v>
      </c>
      <c r="Y352" s="131" t="str">
        <f ca="1">IF(ISBLANK(BudgetsTable[[#This Row],[budg_seq_yr]]),"FY"&amp;fiscalyear,"FY"&amp;fiscalyear-1+BudgetsTable[[#This Row],[budg_seq_yr]])</f>
        <v>FY21</v>
      </c>
      <c r="Z352" s="129">
        <v>106666</v>
      </c>
      <c r="AA352" s="128" t="s">
        <v>741</v>
      </c>
      <c r="AB352" s="128" t="s">
        <v>528</v>
      </c>
      <c r="AC352" s="126" t="s">
        <v>94</v>
      </c>
      <c r="AD352" s="128" t="s">
        <v>751</v>
      </c>
    </row>
    <row r="353" spans="1:30">
      <c r="A353" s="125" t="s">
        <v>565</v>
      </c>
      <c r="B353" s="126" t="s">
        <v>96</v>
      </c>
      <c r="C353" s="126">
        <f>C352+(BudgetsTable[[#This Row],[lead]]&lt;&gt;K352)</f>
        <v>73</v>
      </c>
      <c r="D353" s="126">
        <f>D352*(BudgetsTable[[#This Row],[lead]]=K352)+(BudgetsTable[[#This Row],[prop_id]]&lt;&gt;A352)</f>
        <v>1</v>
      </c>
      <c r="E353" s="127">
        <v>42933.547222222223</v>
      </c>
      <c r="F353" s="128" t="s">
        <v>242</v>
      </c>
      <c r="G353" s="128" t="s">
        <v>741</v>
      </c>
      <c r="H353" s="128" t="s">
        <v>528</v>
      </c>
      <c r="I353" s="126" t="s">
        <v>540</v>
      </c>
      <c r="J353" s="126" t="s">
        <v>13</v>
      </c>
      <c r="K353" s="128" t="s">
        <v>565</v>
      </c>
      <c r="L353" s="7" t="str">
        <f>IF(BudgetsTable[[#This Row],[pi_last_name]]=" ","",HYPERLINK("https://www.ejacket.nsf.gov/ej/showProposal.do?Continue=Y&amp;ID="&amp;BudgetsTable[[#This Row],[prop_id]],BudgetsTable[[#This Row],[prop_id]]))</f>
        <v/>
      </c>
      <c r="M353" s="15" t="str">
        <f>IF(BudgetsTable[[#This Row],[pi_last_name]]=" ","",HYPERLINK("https://www.ejacket.nsf.gov/ej/processReviewAnalysis.do?dispatch=add&amp;uniqId="&amp;BudgetsTable[[#This Row],[prop_id]]&amp;PO_id,"&gt;ra"))</f>
        <v/>
      </c>
      <c r="N353" s="128" t="s">
        <v>13</v>
      </c>
      <c r="O353" s="7" t="str">
        <f>IF(BudgetsTable[[#This Row],[pi_last_name]]=" ","",HYPERLINK("mailto:"&amp;BudgetsTable[[#This Row],[pi_email]]&amp;"&amp;subject=Your NSF Proposal:  "&amp;BudgetsTable[[#This Row],[prop_id]],BudgetsTable[[#This Row],[pi_email]]))</f>
        <v/>
      </c>
      <c r="P353" s="128" t="s">
        <v>13</v>
      </c>
      <c r="Q353" s="128">
        <v>1</v>
      </c>
      <c r="R353" s="128">
        <v>1</v>
      </c>
      <c r="S353" s="129">
        <v>0</v>
      </c>
      <c r="T353" s="129">
        <v>3000</v>
      </c>
      <c r="U353" s="129">
        <v>0</v>
      </c>
      <c r="V353" s="130">
        <v>108456</v>
      </c>
      <c r="W353" s="128">
        <v>0</v>
      </c>
      <c r="X353" s="128">
        <v>5</v>
      </c>
      <c r="Y353" s="131" t="str">
        <f ca="1">IF(ISBLANK(BudgetsTable[[#This Row],[budg_seq_yr]]),"FY"&amp;fiscalyear,"FY"&amp;fiscalyear-1+BudgetsTable[[#This Row],[budg_seq_yr]])</f>
        <v>FY22</v>
      </c>
      <c r="Z353" s="129">
        <v>108456</v>
      </c>
      <c r="AA353" s="128" t="s">
        <v>741</v>
      </c>
      <c r="AB353" s="128" t="s">
        <v>528</v>
      </c>
      <c r="AC353" s="126" t="s">
        <v>94</v>
      </c>
      <c r="AD353" s="128" t="s">
        <v>751</v>
      </c>
    </row>
    <row r="354" spans="1:30">
      <c r="A354" s="125" t="s">
        <v>1522</v>
      </c>
      <c r="B354" s="126" t="s">
        <v>96</v>
      </c>
      <c r="C354" s="126">
        <f>C353+(BudgetsTable[[#This Row],[lead]]&lt;&gt;K353)</f>
        <v>74</v>
      </c>
      <c r="D354" s="126">
        <f>D353*(BudgetsTable[[#This Row],[lead]]=K353)+(BudgetsTable[[#This Row],[prop_id]]&lt;&gt;A353)</f>
        <v>1</v>
      </c>
      <c r="E354" s="127">
        <v>42933.579861111109</v>
      </c>
      <c r="F354" s="128" t="s">
        <v>242</v>
      </c>
      <c r="G354" s="128" t="s">
        <v>741</v>
      </c>
      <c r="H354" s="128" t="s">
        <v>528</v>
      </c>
      <c r="I354" s="126" t="s">
        <v>1530</v>
      </c>
      <c r="J354" s="126" t="s">
        <v>2357</v>
      </c>
      <c r="K354" s="128" t="s">
        <v>1522</v>
      </c>
      <c r="L354" s="7" t="str">
        <f>IF(BudgetsTable[[#This Row],[pi_last_name]]=" ","",HYPERLINK("https://www.ejacket.nsf.gov/ej/showProposal.do?Continue=Y&amp;ID="&amp;BudgetsTable[[#This Row],[prop_id]],BudgetsTable[[#This Row],[prop_id]]))</f>
        <v>1749414</v>
      </c>
      <c r="M354" s="15" t="str">
        <f>IF(BudgetsTable[[#This Row],[pi_last_name]]=" ","",HYPERLINK("https://www.ejacket.nsf.gov/ej/processReviewAnalysis.do?dispatch=add&amp;uniqId="&amp;BudgetsTable[[#This Row],[prop_id]]&amp;PO_id,"&gt;ra"))</f>
        <v>&gt;ra</v>
      </c>
      <c r="N354" s="128" t="s">
        <v>1523</v>
      </c>
      <c r="O354" s="7" t="str">
        <f>IF(BudgetsTable[[#This Row],[pi_last_name]]=" ","",HYPERLINK("mailto:"&amp;BudgetsTable[[#This Row],[pi_email]]&amp;"&amp;subject=Your NSF Proposal:  "&amp;BudgetsTable[[#This Row],[prop_id]],BudgetsTable[[#This Row],[pi_email]]))</f>
        <v>bmoseley@seas.wustl.edu</v>
      </c>
      <c r="P354" s="128" t="s">
        <v>2127</v>
      </c>
      <c r="Q354" s="128"/>
      <c r="R354" s="128"/>
      <c r="S354" s="129"/>
      <c r="T354" s="129"/>
      <c r="U354" s="129"/>
      <c r="V354" s="130"/>
      <c r="W354" s="128">
        <v>0</v>
      </c>
      <c r="X354" s="128"/>
      <c r="Y354" s="131" t="str">
        <f ca="1">IF(ISBLANK(BudgetsTable[[#This Row],[budg_seq_yr]]),"FY"&amp;fiscalyear,"FY"&amp;fiscalyear-1+BudgetsTable[[#This Row],[budg_seq_yr]])</f>
        <v>FY18</v>
      </c>
      <c r="Z354" s="129">
        <v>545000</v>
      </c>
      <c r="AA354" s="128" t="s">
        <v>741</v>
      </c>
      <c r="AB354" s="128" t="s">
        <v>528</v>
      </c>
      <c r="AC354" s="126" t="s">
        <v>94</v>
      </c>
      <c r="AD354" s="128" t="s">
        <v>779</v>
      </c>
    </row>
    <row r="355" spans="1:30">
      <c r="A355" s="125" t="s">
        <v>1522</v>
      </c>
      <c r="B355" s="126" t="s">
        <v>96</v>
      </c>
      <c r="C355" s="126">
        <f>C354+(BudgetsTable[[#This Row],[lead]]&lt;&gt;K354)</f>
        <v>74</v>
      </c>
      <c r="D355" s="126">
        <f>D354*(BudgetsTable[[#This Row],[lead]]=K354)+(BudgetsTable[[#This Row],[prop_id]]&lt;&gt;A354)</f>
        <v>1</v>
      </c>
      <c r="E355" s="127">
        <v>42933.579861111109</v>
      </c>
      <c r="F355" s="128" t="s">
        <v>242</v>
      </c>
      <c r="G355" s="128" t="s">
        <v>741</v>
      </c>
      <c r="H355" s="128" t="s">
        <v>528</v>
      </c>
      <c r="I355" s="126" t="s">
        <v>1530</v>
      </c>
      <c r="J355" s="126" t="s">
        <v>13</v>
      </c>
      <c r="K355" s="128" t="s">
        <v>1522</v>
      </c>
      <c r="L355" s="7" t="str">
        <f>IF(BudgetsTable[[#This Row],[pi_last_name]]=" ","",HYPERLINK("https://www.ejacket.nsf.gov/ej/showProposal.do?Continue=Y&amp;ID="&amp;BudgetsTable[[#This Row],[prop_id]],BudgetsTable[[#This Row],[prop_id]]))</f>
        <v/>
      </c>
      <c r="M355" s="15" t="str">
        <f>IF(BudgetsTable[[#This Row],[pi_last_name]]=" ","",HYPERLINK("https://www.ejacket.nsf.gov/ej/processReviewAnalysis.do?dispatch=add&amp;uniqId="&amp;BudgetsTable[[#This Row],[prop_id]]&amp;PO_id,"&gt;ra"))</f>
        <v/>
      </c>
      <c r="N355" s="128" t="s">
        <v>13</v>
      </c>
      <c r="O355" s="7" t="str">
        <f>IF(BudgetsTable[[#This Row],[pi_last_name]]=" ","",HYPERLINK("mailto:"&amp;BudgetsTable[[#This Row],[pi_email]]&amp;"&amp;subject=Your NSF Proposal:  "&amp;BudgetsTable[[#This Row],[prop_id]],BudgetsTable[[#This Row],[pi_email]]))</f>
        <v/>
      </c>
      <c r="P355" s="128" t="s">
        <v>13</v>
      </c>
      <c r="Q355" s="128">
        <v>1</v>
      </c>
      <c r="R355" s="128">
        <v>1.3</v>
      </c>
      <c r="S355" s="129">
        <v>0</v>
      </c>
      <c r="T355" s="129">
        <v>0</v>
      </c>
      <c r="U355" s="129">
        <v>8000</v>
      </c>
      <c r="V355" s="130">
        <v>118096</v>
      </c>
      <c r="W355" s="128">
        <v>0</v>
      </c>
      <c r="X355" s="128">
        <v>1</v>
      </c>
      <c r="Y355" s="131" t="str">
        <f ca="1">IF(ISBLANK(BudgetsTable[[#This Row],[budg_seq_yr]]),"FY"&amp;fiscalyear,"FY"&amp;fiscalyear-1+BudgetsTable[[#This Row],[budg_seq_yr]])</f>
        <v>FY18</v>
      </c>
      <c r="Z355" s="129">
        <v>118096</v>
      </c>
      <c r="AA355" s="128" t="s">
        <v>741</v>
      </c>
      <c r="AB355" s="128" t="s">
        <v>528</v>
      </c>
      <c r="AC355" s="126" t="s">
        <v>94</v>
      </c>
      <c r="AD355" s="128" t="s">
        <v>779</v>
      </c>
    </row>
    <row r="356" spans="1:30">
      <c r="A356" s="125" t="s">
        <v>1522</v>
      </c>
      <c r="B356" s="126" t="s">
        <v>96</v>
      </c>
      <c r="C356" s="126">
        <f>C355+(BudgetsTable[[#This Row],[lead]]&lt;&gt;K355)</f>
        <v>74</v>
      </c>
      <c r="D356" s="126">
        <f>D355*(BudgetsTable[[#This Row],[lead]]=K355)+(BudgetsTable[[#This Row],[prop_id]]&lt;&gt;A355)</f>
        <v>1</v>
      </c>
      <c r="E356" s="127">
        <v>42933.579861111109</v>
      </c>
      <c r="F356" s="128" t="s">
        <v>242</v>
      </c>
      <c r="G356" s="128" t="s">
        <v>741</v>
      </c>
      <c r="H356" s="128" t="s">
        <v>528</v>
      </c>
      <c r="I356" s="126" t="s">
        <v>1530</v>
      </c>
      <c r="J356" s="126" t="s">
        <v>13</v>
      </c>
      <c r="K356" s="128" t="s">
        <v>1522</v>
      </c>
      <c r="L356" s="7" t="str">
        <f>IF(BudgetsTable[[#This Row],[pi_last_name]]=" ","",HYPERLINK("https://www.ejacket.nsf.gov/ej/showProposal.do?Continue=Y&amp;ID="&amp;BudgetsTable[[#This Row],[prop_id]],BudgetsTable[[#This Row],[prop_id]]))</f>
        <v/>
      </c>
      <c r="M356" s="15" t="str">
        <f>IF(BudgetsTable[[#This Row],[pi_last_name]]=" ","",HYPERLINK("https://www.ejacket.nsf.gov/ej/processReviewAnalysis.do?dispatch=add&amp;uniqId="&amp;BudgetsTable[[#This Row],[prop_id]]&amp;PO_id,"&gt;ra"))</f>
        <v/>
      </c>
      <c r="N356" s="128" t="s">
        <v>13</v>
      </c>
      <c r="O356" s="7" t="str">
        <f>IF(BudgetsTable[[#This Row],[pi_last_name]]=" ","",HYPERLINK("mailto:"&amp;BudgetsTable[[#This Row],[pi_email]]&amp;"&amp;subject=Your NSF Proposal:  "&amp;BudgetsTable[[#This Row],[prop_id]],BudgetsTable[[#This Row],[pi_email]]))</f>
        <v/>
      </c>
      <c r="P356" s="128" t="s">
        <v>13</v>
      </c>
      <c r="Q356" s="128">
        <v>1</v>
      </c>
      <c r="R356" s="128">
        <v>1.3</v>
      </c>
      <c r="S356" s="129">
        <v>0</v>
      </c>
      <c r="T356" s="129">
        <v>0</v>
      </c>
      <c r="U356" s="129">
        <v>0</v>
      </c>
      <c r="V356" s="130">
        <v>103981</v>
      </c>
      <c r="W356" s="128">
        <v>0</v>
      </c>
      <c r="X356" s="128">
        <v>2</v>
      </c>
      <c r="Y356" s="131" t="str">
        <f ca="1">IF(ISBLANK(BudgetsTable[[#This Row],[budg_seq_yr]]),"FY"&amp;fiscalyear,"FY"&amp;fiscalyear-1+BudgetsTable[[#This Row],[budg_seq_yr]])</f>
        <v>FY19</v>
      </c>
      <c r="Z356" s="129">
        <v>103981</v>
      </c>
      <c r="AA356" s="128" t="s">
        <v>741</v>
      </c>
      <c r="AB356" s="128" t="s">
        <v>528</v>
      </c>
      <c r="AC356" s="126" t="s">
        <v>94</v>
      </c>
      <c r="AD356" s="128" t="s">
        <v>779</v>
      </c>
    </row>
    <row r="357" spans="1:30">
      <c r="A357" s="125" t="s">
        <v>1522</v>
      </c>
      <c r="B357" s="126" t="s">
        <v>96</v>
      </c>
      <c r="C357" s="126">
        <f>C356+(BudgetsTable[[#This Row],[lead]]&lt;&gt;K356)</f>
        <v>74</v>
      </c>
      <c r="D357" s="126">
        <f>D356*(BudgetsTable[[#This Row],[lead]]=K356)+(BudgetsTable[[#This Row],[prop_id]]&lt;&gt;A356)</f>
        <v>1</v>
      </c>
      <c r="E357" s="127">
        <v>42933.579861111109</v>
      </c>
      <c r="F357" s="128" t="s">
        <v>242</v>
      </c>
      <c r="G357" s="128" t="s">
        <v>741</v>
      </c>
      <c r="H357" s="128" t="s">
        <v>528</v>
      </c>
      <c r="I357" s="126" t="s">
        <v>1530</v>
      </c>
      <c r="J357" s="126" t="s">
        <v>13</v>
      </c>
      <c r="K357" s="128" t="s">
        <v>1522</v>
      </c>
      <c r="L357" s="7" t="str">
        <f>IF(BudgetsTable[[#This Row],[pi_last_name]]=" ","",HYPERLINK("https://www.ejacket.nsf.gov/ej/showProposal.do?Continue=Y&amp;ID="&amp;BudgetsTable[[#This Row],[prop_id]],BudgetsTable[[#This Row],[prop_id]]))</f>
        <v/>
      </c>
      <c r="M357" s="15" t="str">
        <f>IF(BudgetsTable[[#This Row],[pi_last_name]]=" ","",HYPERLINK("https://www.ejacket.nsf.gov/ej/processReviewAnalysis.do?dispatch=add&amp;uniqId="&amp;BudgetsTable[[#This Row],[prop_id]]&amp;PO_id,"&gt;ra"))</f>
        <v/>
      </c>
      <c r="N357" s="128" t="s">
        <v>13</v>
      </c>
      <c r="O357" s="7" t="str">
        <f>IF(BudgetsTable[[#This Row],[pi_last_name]]=" ","",HYPERLINK("mailto:"&amp;BudgetsTable[[#This Row],[pi_email]]&amp;"&amp;subject=Your NSF Proposal:  "&amp;BudgetsTable[[#This Row],[prop_id]],BudgetsTable[[#This Row],[pi_email]]))</f>
        <v/>
      </c>
      <c r="P357" s="128" t="s">
        <v>13</v>
      </c>
      <c r="Q357" s="128">
        <v>1</v>
      </c>
      <c r="R357" s="128">
        <v>1.3</v>
      </c>
      <c r="S357" s="129">
        <v>0</v>
      </c>
      <c r="T357" s="129">
        <v>0</v>
      </c>
      <c r="U357" s="129">
        <v>0</v>
      </c>
      <c r="V357" s="130">
        <v>105714</v>
      </c>
      <c r="W357" s="128">
        <v>0</v>
      </c>
      <c r="X357" s="128">
        <v>3</v>
      </c>
      <c r="Y357" s="131" t="str">
        <f ca="1">IF(ISBLANK(BudgetsTable[[#This Row],[budg_seq_yr]]),"FY"&amp;fiscalyear,"FY"&amp;fiscalyear-1+BudgetsTable[[#This Row],[budg_seq_yr]])</f>
        <v>FY20</v>
      </c>
      <c r="Z357" s="129">
        <v>105714</v>
      </c>
      <c r="AA357" s="128" t="s">
        <v>741</v>
      </c>
      <c r="AB357" s="128" t="s">
        <v>528</v>
      </c>
      <c r="AC357" s="126" t="s">
        <v>94</v>
      </c>
      <c r="AD357" s="128" t="s">
        <v>779</v>
      </c>
    </row>
    <row r="358" spans="1:30">
      <c r="A358" s="125" t="s">
        <v>1522</v>
      </c>
      <c r="B358" s="126" t="s">
        <v>96</v>
      </c>
      <c r="C358" s="126">
        <f>C357+(BudgetsTable[[#This Row],[lead]]&lt;&gt;K357)</f>
        <v>74</v>
      </c>
      <c r="D358" s="126">
        <f>D357*(BudgetsTable[[#This Row],[lead]]=K357)+(BudgetsTable[[#This Row],[prop_id]]&lt;&gt;A357)</f>
        <v>1</v>
      </c>
      <c r="E358" s="127">
        <v>42933.579861111109</v>
      </c>
      <c r="F358" s="128" t="s">
        <v>242</v>
      </c>
      <c r="G358" s="128" t="s">
        <v>741</v>
      </c>
      <c r="H358" s="128" t="s">
        <v>528</v>
      </c>
      <c r="I358" s="126" t="s">
        <v>1530</v>
      </c>
      <c r="J358" s="126" t="s">
        <v>13</v>
      </c>
      <c r="K358" s="128" t="s">
        <v>1522</v>
      </c>
      <c r="L358" s="7" t="str">
        <f>IF(BudgetsTable[[#This Row],[pi_last_name]]=" ","",HYPERLINK("https://www.ejacket.nsf.gov/ej/showProposal.do?Continue=Y&amp;ID="&amp;BudgetsTable[[#This Row],[prop_id]],BudgetsTable[[#This Row],[prop_id]]))</f>
        <v/>
      </c>
      <c r="M358" s="15" t="str">
        <f>IF(BudgetsTable[[#This Row],[pi_last_name]]=" ","",HYPERLINK("https://www.ejacket.nsf.gov/ej/processReviewAnalysis.do?dispatch=add&amp;uniqId="&amp;BudgetsTable[[#This Row],[prop_id]]&amp;PO_id,"&gt;ra"))</f>
        <v/>
      </c>
      <c r="N358" s="128" t="s">
        <v>13</v>
      </c>
      <c r="O358" s="7" t="str">
        <f>IF(BudgetsTable[[#This Row],[pi_last_name]]=" ","",HYPERLINK("mailto:"&amp;BudgetsTable[[#This Row],[pi_email]]&amp;"&amp;subject=Your NSF Proposal:  "&amp;BudgetsTable[[#This Row],[prop_id]],BudgetsTable[[#This Row],[pi_email]]))</f>
        <v/>
      </c>
      <c r="P358" s="128" t="s">
        <v>13</v>
      </c>
      <c r="Q358" s="128">
        <v>1</v>
      </c>
      <c r="R358" s="128">
        <v>1.3</v>
      </c>
      <c r="S358" s="129">
        <v>0</v>
      </c>
      <c r="T358" s="129">
        <v>0</v>
      </c>
      <c r="U358" s="129">
        <v>0</v>
      </c>
      <c r="V358" s="130">
        <v>107658</v>
      </c>
      <c r="W358" s="128">
        <v>0</v>
      </c>
      <c r="X358" s="128">
        <v>4</v>
      </c>
      <c r="Y358" s="131" t="str">
        <f ca="1">IF(ISBLANK(BudgetsTable[[#This Row],[budg_seq_yr]]),"FY"&amp;fiscalyear,"FY"&amp;fiscalyear-1+BudgetsTable[[#This Row],[budg_seq_yr]])</f>
        <v>FY21</v>
      </c>
      <c r="Z358" s="129">
        <v>107658</v>
      </c>
      <c r="AA358" s="128" t="s">
        <v>741</v>
      </c>
      <c r="AB358" s="128" t="s">
        <v>528</v>
      </c>
      <c r="AC358" s="126" t="s">
        <v>94</v>
      </c>
      <c r="AD358" s="128" t="s">
        <v>779</v>
      </c>
    </row>
    <row r="359" spans="1:30">
      <c r="A359" s="125" t="s">
        <v>1522</v>
      </c>
      <c r="B359" s="126" t="s">
        <v>96</v>
      </c>
      <c r="C359" s="126">
        <f>C358+(BudgetsTable[[#This Row],[lead]]&lt;&gt;K358)</f>
        <v>74</v>
      </c>
      <c r="D359" s="126">
        <f>D358*(BudgetsTable[[#This Row],[lead]]=K358)+(BudgetsTable[[#This Row],[prop_id]]&lt;&gt;A358)</f>
        <v>1</v>
      </c>
      <c r="E359" s="127">
        <v>42933.579861111109</v>
      </c>
      <c r="F359" s="128" t="s">
        <v>242</v>
      </c>
      <c r="G359" s="128" t="s">
        <v>741</v>
      </c>
      <c r="H359" s="128" t="s">
        <v>528</v>
      </c>
      <c r="I359" s="126" t="s">
        <v>1530</v>
      </c>
      <c r="J359" s="126" t="s">
        <v>13</v>
      </c>
      <c r="K359" s="128" t="s">
        <v>1522</v>
      </c>
      <c r="L359" s="7" t="str">
        <f>IF(BudgetsTable[[#This Row],[pi_last_name]]=" ","",HYPERLINK("https://www.ejacket.nsf.gov/ej/showProposal.do?Continue=Y&amp;ID="&amp;BudgetsTable[[#This Row],[prop_id]],BudgetsTable[[#This Row],[prop_id]]))</f>
        <v/>
      </c>
      <c r="M359" s="15" t="str">
        <f>IF(BudgetsTable[[#This Row],[pi_last_name]]=" ","",HYPERLINK("https://www.ejacket.nsf.gov/ej/processReviewAnalysis.do?dispatch=add&amp;uniqId="&amp;BudgetsTable[[#This Row],[prop_id]]&amp;PO_id,"&gt;ra"))</f>
        <v/>
      </c>
      <c r="N359" s="128" t="s">
        <v>13</v>
      </c>
      <c r="O359" s="7" t="str">
        <f>IF(BudgetsTable[[#This Row],[pi_last_name]]=" ","",HYPERLINK("mailto:"&amp;BudgetsTable[[#This Row],[pi_email]]&amp;"&amp;subject=Your NSF Proposal:  "&amp;BudgetsTable[[#This Row],[prop_id]],BudgetsTable[[#This Row],[pi_email]]))</f>
        <v/>
      </c>
      <c r="P359" s="128" t="s">
        <v>13</v>
      </c>
      <c r="Q359" s="128">
        <v>1</v>
      </c>
      <c r="R359" s="128">
        <v>1.3</v>
      </c>
      <c r="S359" s="129">
        <v>0</v>
      </c>
      <c r="T359" s="129">
        <v>0</v>
      </c>
      <c r="U359" s="129">
        <v>0</v>
      </c>
      <c r="V359" s="130">
        <v>109551</v>
      </c>
      <c r="W359" s="128">
        <v>0</v>
      </c>
      <c r="X359" s="128">
        <v>5</v>
      </c>
      <c r="Y359" s="131" t="str">
        <f ca="1">IF(ISBLANK(BudgetsTable[[#This Row],[budg_seq_yr]]),"FY"&amp;fiscalyear,"FY"&amp;fiscalyear-1+BudgetsTable[[#This Row],[budg_seq_yr]])</f>
        <v>FY22</v>
      </c>
      <c r="Z359" s="129">
        <v>109551</v>
      </c>
      <c r="AA359" s="128" t="s">
        <v>741</v>
      </c>
      <c r="AB359" s="128" t="s">
        <v>528</v>
      </c>
      <c r="AC359" s="126" t="s">
        <v>94</v>
      </c>
      <c r="AD359" s="128" t="s">
        <v>779</v>
      </c>
    </row>
    <row r="360" spans="1:30">
      <c r="A360" s="125" t="s">
        <v>585</v>
      </c>
      <c r="B360" s="126" t="s">
        <v>96</v>
      </c>
      <c r="C360" s="126">
        <f>C359+(BudgetsTable[[#This Row],[lead]]&lt;&gt;K359)</f>
        <v>75</v>
      </c>
      <c r="D360" s="126">
        <f>D359*(BudgetsTable[[#This Row],[lead]]=K359)+(BudgetsTable[[#This Row],[prop_id]]&lt;&gt;A359)</f>
        <v>1</v>
      </c>
      <c r="E360" s="127">
        <v>42933.713888888888</v>
      </c>
      <c r="F360" s="128" t="s">
        <v>242</v>
      </c>
      <c r="G360" s="128" t="s">
        <v>741</v>
      </c>
      <c r="H360" s="128" t="s">
        <v>528</v>
      </c>
      <c r="I360" s="126" t="s">
        <v>540</v>
      </c>
      <c r="J360" s="126" t="s">
        <v>760</v>
      </c>
      <c r="K360" s="128" t="s">
        <v>585</v>
      </c>
      <c r="L360" s="7" t="str">
        <f>IF(BudgetsTable[[#This Row],[pi_last_name]]=" ","",HYPERLINK("https://www.ejacket.nsf.gov/ej/showProposal.do?Continue=Y&amp;ID="&amp;BudgetsTable[[#This Row],[prop_id]],BudgetsTable[[#This Row],[prop_id]]))</f>
        <v>1749563</v>
      </c>
      <c r="M360" s="15" t="str">
        <f>IF(BudgetsTable[[#This Row],[pi_last_name]]=" ","",HYPERLINK("https://www.ejacket.nsf.gov/ej/processReviewAnalysis.do?dispatch=add&amp;uniqId="&amp;BudgetsTable[[#This Row],[prop_id]]&amp;PO_id,"&gt;ra"))</f>
        <v>&gt;ra</v>
      </c>
      <c r="N360" s="128" t="s">
        <v>586</v>
      </c>
      <c r="O360" s="7" t="str">
        <f>IF(BudgetsTable[[#This Row],[pi_last_name]]=" ","",HYPERLINK("mailto:"&amp;BudgetsTable[[#This Row],[pi_email]]&amp;"&amp;subject=Your NSF Proposal:  "&amp;BudgetsTable[[#This Row],[prop_id]],BudgetsTable[[#This Row],[pi_email]]))</f>
        <v>delpia@wisc.edu</v>
      </c>
      <c r="P360" s="128" t="s">
        <v>247</v>
      </c>
      <c r="Q360" s="128"/>
      <c r="R360" s="128"/>
      <c r="S360" s="129"/>
      <c r="T360" s="129"/>
      <c r="U360" s="129"/>
      <c r="V360" s="130"/>
      <c r="W360" s="128">
        <v>0</v>
      </c>
      <c r="X360" s="128"/>
      <c r="Y360" s="131" t="str">
        <f ca="1">IF(ISBLANK(BudgetsTable[[#This Row],[budg_seq_yr]]),"FY"&amp;fiscalyear,"FY"&amp;fiscalyear-1+BudgetsTable[[#This Row],[budg_seq_yr]])</f>
        <v>FY18</v>
      </c>
      <c r="Z360" s="129">
        <v>500000</v>
      </c>
      <c r="AA360" s="128" t="s">
        <v>741</v>
      </c>
      <c r="AB360" s="128" t="s">
        <v>528</v>
      </c>
      <c r="AC360" s="126" t="s">
        <v>94</v>
      </c>
      <c r="AD360" s="128" t="s">
        <v>744</v>
      </c>
    </row>
    <row r="361" spans="1:30">
      <c r="A361" s="125" t="s">
        <v>585</v>
      </c>
      <c r="B361" s="126" t="s">
        <v>96</v>
      </c>
      <c r="C361" s="126">
        <f>C360+(BudgetsTable[[#This Row],[lead]]&lt;&gt;K360)</f>
        <v>75</v>
      </c>
      <c r="D361" s="126">
        <f>D360*(BudgetsTable[[#This Row],[lead]]=K360)+(BudgetsTable[[#This Row],[prop_id]]&lt;&gt;A360)</f>
        <v>1</v>
      </c>
      <c r="E361" s="127">
        <v>42933.713888888888</v>
      </c>
      <c r="F361" s="128" t="s">
        <v>242</v>
      </c>
      <c r="G361" s="128" t="s">
        <v>741</v>
      </c>
      <c r="H361" s="128" t="s">
        <v>528</v>
      </c>
      <c r="I361" s="126" t="s">
        <v>540</v>
      </c>
      <c r="J361" s="126" t="s">
        <v>13</v>
      </c>
      <c r="K361" s="128" t="s">
        <v>585</v>
      </c>
      <c r="L361" s="7" t="str">
        <f>IF(BudgetsTable[[#This Row],[pi_last_name]]=" ","",HYPERLINK("https://www.ejacket.nsf.gov/ej/showProposal.do?Continue=Y&amp;ID="&amp;BudgetsTable[[#This Row],[prop_id]],BudgetsTable[[#This Row],[prop_id]]))</f>
        <v/>
      </c>
      <c r="M361" s="15" t="str">
        <f>IF(BudgetsTable[[#This Row],[pi_last_name]]=" ","",HYPERLINK("https://www.ejacket.nsf.gov/ej/processReviewAnalysis.do?dispatch=add&amp;uniqId="&amp;BudgetsTable[[#This Row],[prop_id]]&amp;PO_id,"&gt;ra"))</f>
        <v/>
      </c>
      <c r="N361" s="128" t="s">
        <v>13</v>
      </c>
      <c r="O361" s="7" t="str">
        <f>IF(BudgetsTable[[#This Row],[pi_last_name]]=" ","",HYPERLINK("mailto:"&amp;BudgetsTable[[#This Row],[pi_email]]&amp;"&amp;subject=Your NSF Proposal:  "&amp;BudgetsTable[[#This Row],[prop_id]],BudgetsTable[[#This Row],[pi_email]]))</f>
        <v/>
      </c>
      <c r="P361" s="128" t="s">
        <v>13</v>
      </c>
      <c r="Q361" s="128">
        <v>1</v>
      </c>
      <c r="R361" s="128">
        <v>1</v>
      </c>
      <c r="S361" s="129">
        <v>0</v>
      </c>
      <c r="T361" s="129">
        <v>2483</v>
      </c>
      <c r="U361" s="129">
        <v>0</v>
      </c>
      <c r="V361" s="130">
        <v>103953</v>
      </c>
      <c r="W361" s="128">
        <v>0</v>
      </c>
      <c r="X361" s="128">
        <v>1</v>
      </c>
      <c r="Y361" s="131" t="str">
        <f ca="1">IF(ISBLANK(BudgetsTable[[#This Row],[budg_seq_yr]]),"FY"&amp;fiscalyear,"FY"&amp;fiscalyear-1+BudgetsTable[[#This Row],[budg_seq_yr]])</f>
        <v>FY18</v>
      </c>
      <c r="Z361" s="129">
        <v>103953</v>
      </c>
      <c r="AA361" s="128" t="s">
        <v>741</v>
      </c>
      <c r="AB361" s="128" t="s">
        <v>528</v>
      </c>
      <c r="AC361" s="126" t="s">
        <v>94</v>
      </c>
      <c r="AD361" s="128" t="s">
        <v>744</v>
      </c>
    </row>
    <row r="362" spans="1:30">
      <c r="A362" s="125" t="s">
        <v>585</v>
      </c>
      <c r="B362" s="126" t="s">
        <v>96</v>
      </c>
      <c r="C362" s="126">
        <f>C361+(BudgetsTable[[#This Row],[lead]]&lt;&gt;K361)</f>
        <v>75</v>
      </c>
      <c r="D362" s="126">
        <f>D361*(BudgetsTable[[#This Row],[lead]]=K361)+(BudgetsTable[[#This Row],[prop_id]]&lt;&gt;A361)</f>
        <v>1</v>
      </c>
      <c r="E362" s="127">
        <v>42933.713888888888</v>
      </c>
      <c r="F362" s="128" t="s">
        <v>242</v>
      </c>
      <c r="G362" s="128" t="s">
        <v>741</v>
      </c>
      <c r="H362" s="128" t="s">
        <v>528</v>
      </c>
      <c r="I362" s="126" t="s">
        <v>540</v>
      </c>
      <c r="J362" s="126" t="s">
        <v>13</v>
      </c>
      <c r="K362" s="128" t="s">
        <v>585</v>
      </c>
      <c r="L362" s="7" t="str">
        <f>IF(BudgetsTable[[#This Row],[pi_last_name]]=" ","",HYPERLINK("https://www.ejacket.nsf.gov/ej/showProposal.do?Continue=Y&amp;ID="&amp;BudgetsTable[[#This Row],[prop_id]],BudgetsTable[[#This Row],[prop_id]]))</f>
        <v/>
      </c>
      <c r="M362" s="15" t="str">
        <f>IF(BudgetsTable[[#This Row],[pi_last_name]]=" ","",HYPERLINK("https://www.ejacket.nsf.gov/ej/processReviewAnalysis.do?dispatch=add&amp;uniqId="&amp;BudgetsTable[[#This Row],[prop_id]]&amp;PO_id,"&gt;ra"))</f>
        <v/>
      </c>
      <c r="N362" s="128" t="s">
        <v>13</v>
      </c>
      <c r="O362" s="7" t="str">
        <f>IF(BudgetsTable[[#This Row],[pi_last_name]]=" ","",HYPERLINK("mailto:"&amp;BudgetsTable[[#This Row],[pi_email]]&amp;"&amp;subject=Your NSF Proposal:  "&amp;BudgetsTable[[#This Row],[prop_id]],BudgetsTable[[#This Row],[pi_email]]))</f>
        <v/>
      </c>
      <c r="P362" s="128" t="s">
        <v>13</v>
      </c>
      <c r="Q362" s="128">
        <v>1</v>
      </c>
      <c r="R362" s="128">
        <v>1</v>
      </c>
      <c r="S362" s="129">
        <v>0</v>
      </c>
      <c r="T362" s="129">
        <v>2483</v>
      </c>
      <c r="U362" s="129">
        <v>0</v>
      </c>
      <c r="V362" s="130">
        <v>95986</v>
      </c>
      <c r="W362" s="128">
        <v>0</v>
      </c>
      <c r="X362" s="128">
        <v>2</v>
      </c>
      <c r="Y362" s="131" t="str">
        <f ca="1">IF(ISBLANK(BudgetsTable[[#This Row],[budg_seq_yr]]),"FY"&amp;fiscalyear,"FY"&amp;fiscalyear-1+BudgetsTable[[#This Row],[budg_seq_yr]])</f>
        <v>FY19</v>
      </c>
      <c r="Z362" s="129">
        <v>95986</v>
      </c>
      <c r="AA362" s="128" t="s">
        <v>741</v>
      </c>
      <c r="AB362" s="128" t="s">
        <v>528</v>
      </c>
      <c r="AC362" s="126" t="s">
        <v>94</v>
      </c>
      <c r="AD362" s="128" t="s">
        <v>744</v>
      </c>
    </row>
    <row r="363" spans="1:30">
      <c r="A363" s="125" t="s">
        <v>585</v>
      </c>
      <c r="B363" s="126" t="s">
        <v>96</v>
      </c>
      <c r="C363" s="126">
        <f>C362+(BudgetsTable[[#This Row],[lead]]&lt;&gt;K362)</f>
        <v>75</v>
      </c>
      <c r="D363" s="126">
        <f>D362*(BudgetsTable[[#This Row],[lead]]=K362)+(BudgetsTable[[#This Row],[prop_id]]&lt;&gt;A362)</f>
        <v>1</v>
      </c>
      <c r="E363" s="127">
        <v>42933.713888888888</v>
      </c>
      <c r="F363" s="128" t="s">
        <v>242</v>
      </c>
      <c r="G363" s="128" t="s">
        <v>741</v>
      </c>
      <c r="H363" s="128" t="s">
        <v>528</v>
      </c>
      <c r="I363" s="126" t="s">
        <v>540</v>
      </c>
      <c r="J363" s="126" t="s">
        <v>13</v>
      </c>
      <c r="K363" s="128" t="s">
        <v>585</v>
      </c>
      <c r="L363" s="7" t="str">
        <f>IF(BudgetsTable[[#This Row],[pi_last_name]]=" ","",HYPERLINK("https://www.ejacket.nsf.gov/ej/showProposal.do?Continue=Y&amp;ID="&amp;BudgetsTable[[#This Row],[prop_id]],BudgetsTable[[#This Row],[prop_id]]))</f>
        <v/>
      </c>
      <c r="M363" s="15" t="str">
        <f>IF(BudgetsTable[[#This Row],[pi_last_name]]=" ","",HYPERLINK("https://www.ejacket.nsf.gov/ej/processReviewAnalysis.do?dispatch=add&amp;uniqId="&amp;BudgetsTable[[#This Row],[prop_id]]&amp;PO_id,"&gt;ra"))</f>
        <v/>
      </c>
      <c r="N363" s="128" t="s">
        <v>13</v>
      </c>
      <c r="O363" s="7" t="str">
        <f>IF(BudgetsTable[[#This Row],[pi_last_name]]=" ","",HYPERLINK("mailto:"&amp;BudgetsTable[[#This Row],[pi_email]]&amp;"&amp;subject=Your NSF Proposal:  "&amp;BudgetsTable[[#This Row],[prop_id]],BudgetsTable[[#This Row],[pi_email]]))</f>
        <v/>
      </c>
      <c r="P363" s="128" t="s">
        <v>13</v>
      </c>
      <c r="Q363" s="128">
        <v>1</v>
      </c>
      <c r="R363" s="128">
        <v>1</v>
      </c>
      <c r="S363" s="129">
        <v>0</v>
      </c>
      <c r="T363" s="129">
        <v>2483</v>
      </c>
      <c r="U363" s="129">
        <v>0</v>
      </c>
      <c r="V363" s="130">
        <v>97655</v>
      </c>
      <c r="W363" s="128">
        <v>0</v>
      </c>
      <c r="X363" s="128">
        <v>3</v>
      </c>
      <c r="Y363" s="131" t="str">
        <f ca="1">IF(ISBLANK(BudgetsTable[[#This Row],[budg_seq_yr]]),"FY"&amp;fiscalyear,"FY"&amp;fiscalyear-1+BudgetsTable[[#This Row],[budg_seq_yr]])</f>
        <v>FY20</v>
      </c>
      <c r="Z363" s="129">
        <v>97655</v>
      </c>
      <c r="AA363" s="128" t="s">
        <v>741</v>
      </c>
      <c r="AB363" s="128" t="s">
        <v>528</v>
      </c>
      <c r="AC363" s="126" t="s">
        <v>94</v>
      </c>
      <c r="AD363" s="128" t="s">
        <v>744</v>
      </c>
    </row>
    <row r="364" spans="1:30">
      <c r="A364" s="125" t="s">
        <v>585</v>
      </c>
      <c r="B364" s="126" t="s">
        <v>96</v>
      </c>
      <c r="C364" s="126">
        <f>C363+(BudgetsTable[[#This Row],[lead]]&lt;&gt;K363)</f>
        <v>75</v>
      </c>
      <c r="D364" s="126">
        <f>D363*(BudgetsTable[[#This Row],[lead]]=K363)+(BudgetsTable[[#This Row],[prop_id]]&lt;&gt;A363)</f>
        <v>1</v>
      </c>
      <c r="E364" s="127">
        <v>42933.713888888888</v>
      </c>
      <c r="F364" s="128" t="s">
        <v>242</v>
      </c>
      <c r="G364" s="128" t="s">
        <v>741</v>
      </c>
      <c r="H364" s="128" t="s">
        <v>528</v>
      </c>
      <c r="I364" s="126" t="s">
        <v>540</v>
      </c>
      <c r="J364" s="126" t="s">
        <v>13</v>
      </c>
      <c r="K364" s="128" t="s">
        <v>585</v>
      </c>
      <c r="L364" s="7" t="str">
        <f>IF(BudgetsTable[[#This Row],[pi_last_name]]=" ","",HYPERLINK("https://www.ejacket.nsf.gov/ej/showProposal.do?Continue=Y&amp;ID="&amp;BudgetsTable[[#This Row],[prop_id]],BudgetsTable[[#This Row],[prop_id]]))</f>
        <v/>
      </c>
      <c r="M364" s="15" t="str">
        <f>IF(BudgetsTable[[#This Row],[pi_last_name]]=" ","",HYPERLINK("https://www.ejacket.nsf.gov/ej/processReviewAnalysis.do?dispatch=add&amp;uniqId="&amp;BudgetsTable[[#This Row],[prop_id]]&amp;PO_id,"&gt;ra"))</f>
        <v/>
      </c>
      <c r="N364" s="128" t="s">
        <v>13</v>
      </c>
      <c r="O364" s="7" t="str">
        <f>IF(BudgetsTable[[#This Row],[pi_last_name]]=" ","",HYPERLINK("mailto:"&amp;BudgetsTable[[#This Row],[pi_email]]&amp;"&amp;subject=Your NSF Proposal:  "&amp;BudgetsTable[[#This Row],[prop_id]],BudgetsTable[[#This Row],[pi_email]]))</f>
        <v/>
      </c>
      <c r="P364" s="128" t="s">
        <v>13</v>
      </c>
      <c r="Q364" s="128">
        <v>1</v>
      </c>
      <c r="R364" s="128">
        <v>1</v>
      </c>
      <c r="S364" s="129">
        <v>0</v>
      </c>
      <c r="T364" s="129">
        <v>2483</v>
      </c>
      <c r="U364" s="129">
        <v>0</v>
      </c>
      <c r="V364" s="130">
        <v>99915</v>
      </c>
      <c r="W364" s="128">
        <v>0</v>
      </c>
      <c r="X364" s="128">
        <v>4</v>
      </c>
      <c r="Y364" s="131" t="str">
        <f ca="1">IF(ISBLANK(BudgetsTable[[#This Row],[budg_seq_yr]]),"FY"&amp;fiscalyear,"FY"&amp;fiscalyear-1+BudgetsTable[[#This Row],[budg_seq_yr]])</f>
        <v>FY21</v>
      </c>
      <c r="Z364" s="129">
        <v>99915</v>
      </c>
      <c r="AA364" s="128" t="s">
        <v>741</v>
      </c>
      <c r="AB364" s="128" t="s">
        <v>528</v>
      </c>
      <c r="AC364" s="126" t="s">
        <v>94</v>
      </c>
      <c r="AD364" s="128" t="s">
        <v>744</v>
      </c>
    </row>
    <row r="365" spans="1:30">
      <c r="A365" s="125" t="s">
        <v>585</v>
      </c>
      <c r="B365" s="126" t="s">
        <v>96</v>
      </c>
      <c r="C365" s="126">
        <f>C364+(BudgetsTable[[#This Row],[lead]]&lt;&gt;K364)</f>
        <v>75</v>
      </c>
      <c r="D365" s="126">
        <f>D364*(BudgetsTable[[#This Row],[lead]]=K364)+(BudgetsTable[[#This Row],[prop_id]]&lt;&gt;A364)</f>
        <v>1</v>
      </c>
      <c r="E365" s="127">
        <v>42933.713888888888</v>
      </c>
      <c r="F365" s="128" t="s">
        <v>242</v>
      </c>
      <c r="G365" s="128" t="s">
        <v>741</v>
      </c>
      <c r="H365" s="128" t="s">
        <v>528</v>
      </c>
      <c r="I365" s="126" t="s">
        <v>540</v>
      </c>
      <c r="J365" s="126" t="s">
        <v>13</v>
      </c>
      <c r="K365" s="128" t="s">
        <v>585</v>
      </c>
      <c r="L365" s="7" t="str">
        <f>IF(BudgetsTable[[#This Row],[pi_last_name]]=" ","",HYPERLINK("https://www.ejacket.nsf.gov/ej/showProposal.do?Continue=Y&amp;ID="&amp;BudgetsTable[[#This Row],[prop_id]],BudgetsTable[[#This Row],[prop_id]]))</f>
        <v/>
      </c>
      <c r="M365" s="15" t="str">
        <f>IF(BudgetsTable[[#This Row],[pi_last_name]]=" ","",HYPERLINK("https://www.ejacket.nsf.gov/ej/processReviewAnalysis.do?dispatch=add&amp;uniqId="&amp;BudgetsTable[[#This Row],[prop_id]]&amp;PO_id,"&gt;ra"))</f>
        <v/>
      </c>
      <c r="N365" s="128" t="s">
        <v>13</v>
      </c>
      <c r="O365" s="7" t="str">
        <f>IF(BudgetsTable[[#This Row],[pi_last_name]]=" ","",HYPERLINK("mailto:"&amp;BudgetsTable[[#This Row],[pi_email]]&amp;"&amp;subject=Your NSF Proposal:  "&amp;BudgetsTable[[#This Row],[prop_id]],BudgetsTable[[#This Row],[pi_email]]))</f>
        <v/>
      </c>
      <c r="P365" s="128" t="s">
        <v>13</v>
      </c>
      <c r="Q365" s="128">
        <v>1</v>
      </c>
      <c r="R365" s="128">
        <v>1</v>
      </c>
      <c r="S365" s="129">
        <v>0</v>
      </c>
      <c r="T365" s="129">
        <v>2484</v>
      </c>
      <c r="U365" s="129">
        <v>0</v>
      </c>
      <c r="V365" s="130">
        <v>102491</v>
      </c>
      <c r="W365" s="128">
        <v>0</v>
      </c>
      <c r="X365" s="128">
        <v>5</v>
      </c>
      <c r="Y365" s="131" t="str">
        <f ca="1">IF(ISBLANK(BudgetsTable[[#This Row],[budg_seq_yr]]),"FY"&amp;fiscalyear,"FY"&amp;fiscalyear-1+BudgetsTable[[#This Row],[budg_seq_yr]])</f>
        <v>FY22</v>
      </c>
      <c r="Z365" s="129">
        <v>102491</v>
      </c>
      <c r="AA365" s="128" t="s">
        <v>741</v>
      </c>
      <c r="AB365" s="128" t="s">
        <v>528</v>
      </c>
      <c r="AC365" s="126" t="s">
        <v>94</v>
      </c>
      <c r="AD365" s="128" t="s">
        <v>744</v>
      </c>
    </row>
    <row r="366" spans="1:30">
      <c r="A366" s="125" t="s">
        <v>596</v>
      </c>
      <c r="B366" s="126" t="s">
        <v>96</v>
      </c>
      <c r="C366" s="126">
        <f>C365+(BudgetsTable[[#This Row],[lead]]&lt;&gt;K365)</f>
        <v>76</v>
      </c>
      <c r="D366" s="126">
        <f>D365*(BudgetsTable[[#This Row],[lead]]=K365)+(BudgetsTable[[#This Row],[prop_id]]&lt;&gt;A365)</f>
        <v>1</v>
      </c>
      <c r="E366" s="127">
        <v>42933.820138888892</v>
      </c>
      <c r="F366" s="128" t="s">
        <v>242</v>
      </c>
      <c r="G366" s="128" t="s">
        <v>741</v>
      </c>
      <c r="H366" s="128" t="s">
        <v>528</v>
      </c>
      <c r="I366" s="126" t="s">
        <v>540</v>
      </c>
      <c r="J366" s="126" t="s">
        <v>764</v>
      </c>
      <c r="K366" s="128" t="s">
        <v>596</v>
      </c>
      <c r="L366" s="7" t="str">
        <f>IF(BudgetsTable[[#This Row],[pi_last_name]]=" ","",HYPERLINK("https://www.ejacket.nsf.gov/ej/showProposal.do?Continue=Y&amp;ID="&amp;BudgetsTable[[#This Row],[prop_id]],BudgetsTable[[#This Row],[prop_id]]))</f>
        <v>1749609</v>
      </c>
      <c r="M366" s="15" t="str">
        <f>IF(BudgetsTable[[#This Row],[pi_last_name]]=" ","",HYPERLINK("https://www.ejacket.nsf.gov/ej/processReviewAnalysis.do?dispatch=add&amp;uniqId="&amp;BudgetsTable[[#This Row],[prop_id]]&amp;PO_id,"&gt;ra"))</f>
        <v>&gt;ra</v>
      </c>
      <c r="N366" s="128" t="s">
        <v>337</v>
      </c>
      <c r="O366" s="7" t="str">
        <f>IF(BudgetsTable[[#This Row],[pi_last_name]]=" ","",HYPERLINK("mailto:"&amp;BudgetsTable[[#This Row],[pi_email]]&amp;"&amp;subject=Your NSF Proposal:  "&amp;BudgetsTable[[#This Row],[prop_id]],BudgetsTable[[#This Row],[pi_email]]))</f>
        <v>yintat@uw.edu</v>
      </c>
      <c r="P366" s="128" t="s">
        <v>244</v>
      </c>
      <c r="Q366" s="128"/>
      <c r="R366" s="128"/>
      <c r="S366" s="129"/>
      <c r="T366" s="129"/>
      <c r="U366" s="129"/>
      <c r="V366" s="130"/>
      <c r="W366" s="128">
        <v>0</v>
      </c>
      <c r="X366" s="128"/>
      <c r="Y366" s="131" t="str">
        <f ca="1">IF(ISBLANK(BudgetsTable[[#This Row],[budg_seq_yr]]),"FY"&amp;fiscalyear,"FY"&amp;fiscalyear-1+BudgetsTable[[#This Row],[budg_seq_yr]])</f>
        <v>FY18</v>
      </c>
      <c r="Z366" s="129">
        <v>549841</v>
      </c>
      <c r="AA366" s="128" t="s">
        <v>741</v>
      </c>
      <c r="AB366" s="128" t="s">
        <v>528</v>
      </c>
      <c r="AC366" s="126" t="s">
        <v>94</v>
      </c>
      <c r="AD366" s="128" t="s">
        <v>744</v>
      </c>
    </row>
    <row r="367" spans="1:30">
      <c r="A367" s="125" t="s">
        <v>596</v>
      </c>
      <c r="B367" s="126" t="s">
        <v>96</v>
      </c>
      <c r="C367" s="126">
        <f>C366+(BudgetsTable[[#This Row],[lead]]&lt;&gt;K366)</f>
        <v>76</v>
      </c>
      <c r="D367" s="126">
        <f>D366*(BudgetsTable[[#This Row],[lead]]=K366)+(BudgetsTable[[#This Row],[prop_id]]&lt;&gt;A366)</f>
        <v>1</v>
      </c>
      <c r="E367" s="127">
        <v>42933.820138888892</v>
      </c>
      <c r="F367" s="128" t="s">
        <v>242</v>
      </c>
      <c r="G367" s="128" t="s">
        <v>741</v>
      </c>
      <c r="H367" s="128" t="s">
        <v>528</v>
      </c>
      <c r="I367" s="126" t="s">
        <v>540</v>
      </c>
      <c r="J367" s="126" t="s">
        <v>13</v>
      </c>
      <c r="K367" s="128" t="s">
        <v>596</v>
      </c>
      <c r="L367" s="7" t="str">
        <f>IF(BudgetsTable[[#This Row],[pi_last_name]]=" ","",HYPERLINK("https://www.ejacket.nsf.gov/ej/showProposal.do?Continue=Y&amp;ID="&amp;BudgetsTable[[#This Row],[prop_id]],BudgetsTable[[#This Row],[prop_id]]))</f>
        <v/>
      </c>
      <c r="M367" s="15" t="str">
        <f>IF(BudgetsTable[[#This Row],[pi_last_name]]=" ","",HYPERLINK("https://www.ejacket.nsf.gov/ej/processReviewAnalysis.do?dispatch=add&amp;uniqId="&amp;BudgetsTable[[#This Row],[prop_id]]&amp;PO_id,"&gt;ra"))</f>
        <v/>
      </c>
      <c r="N367" s="128" t="s">
        <v>13</v>
      </c>
      <c r="O367" s="7" t="str">
        <f>IF(BudgetsTable[[#This Row],[pi_last_name]]=" ","",HYPERLINK("mailto:"&amp;BudgetsTable[[#This Row],[pi_email]]&amp;"&amp;subject=Your NSF Proposal:  "&amp;BudgetsTable[[#This Row],[prop_id]],BudgetsTable[[#This Row],[pi_email]]))</f>
        <v/>
      </c>
      <c r="P367" s="128" t="s">
        <v>13</v>
      </c>
      <c r="Q367" s="128">
        <v>1</v>
      </c>
      <c r="R367" s="128">
        <v>0.5</v>
      </c>
      <c r="S367" s="129">
        <v>0</v>
      </c>
      <c r="T367" s="129">
        <v>0</v>
      </c>
      <c r="U367" s="129">
        <v>0</v>
      </c>
      <c r="V367" s="130">
        <v>105589</v>
      </c>
      <c r="W367" s="128">
        <v>0</v>
      </c>
      <c r="X367" s="128">
        <v>1</v>
      </c>
      <c r="Y367" s="131" t="str">
        <f ca="1">IF(ISBLANK(BudgetsTable[[#This Row],[budg_seq_yr]]),"FY"&amp;fiscalyear,"FY"&amp;fiscalyear-1+BudgetsTable[[#This Row],[budg_seq_yr]])</f>
        <v>FY18</v>
      </c>
      <c r="Z367" s="129">
        <v>105589</v>
      </c>
      <c r="AA367" s="128" t="s">
        <v>741</v>
      </c>
      <c r="AB367" s="128" t="s">
        <v>528</v>
      </c>
      <c r="AC367" s="126" t="s">
        <v>94</v>
      </c>
      <c r="AD367" s="128" t="s">
        <v>744</v>
      </c>
    </row>
    <row r="368" spans="1:30">
      <c r="A368" s="125" t="s">
        <v>596</v>
      </c>
      <c r="B368" s="126" t="s">
        <v>96</v>
      </c>
      <c r="C368" s="126">
        <f>C367+(BudgetsTable[[#This Row],[lead]]&lt;&gt;K367)</f>
        <v>76</v>
      </c>
      <c r="D368" s="126">
        <f>D367*(BudgetsTable[[#This Row],[lead]]=K367)+(BudgetsTable[[#This Row],[prop_id]]&lt;&gt;A367)</f>
        <v>1</v>
      </c>
      <c r="E368" s="127">
        <v>42933.820138888892</v>
      </c>
      <c r="F368" s="128" t="s">
        <v>242</v>
      </c>
      <c r="G368" s="128" t="s">
        <v>741</v>
      </c>
      <c r="H368" s="128" t="s">
        <v>528</v>
      </c>
      <c r="I368" s="126" t="s">
        <v>540</v>
      </c>
      <c r="J368" s="126" t="s">
        <v>13</v>
      </c>
      <c r="K368" s="128" t="s">
        <v>596</v>
      </c>
      <c r="L368" s="7" t="str">
        <f>IF(BudgetsTable[[#This Row],[pi_last_name]]=" ","",HYPERLINK("https://www.ejacket.nsf.gov/ej/showProposal.do?Continue=Y&amp;ID="&amp;BudgetsTable[[#This Row],[prop_id]],BudgetsTable[[#This Row],[prop_id]]))</f>
        <v/>
      </c>
      <c r="M368" s="15" t="str">
        <f>IF(BudgetsTable[[#This Row],[pi_last_name]]=" ","",HYPERLINK("https://www.ejacket.nsf.gov/ej/processReviewAnalysis.do?dispatch=add&amp;uniqId="&amp;BudgetsTable[[#This Row],[prop_id]]&amp;PO_id,"&gt;ra"))</f>
        <v/>
      </c>
      <c r="N368" s="128" t="s">
        <v>13</v>
      </c>
      <c r="O368" s="7" t="str">
        <f>IF(BudgetsTable[[#This Row],[pi_last_name]]=" ","",HYPERLINK("mailto:"&amp;BudgetsTable[[#This Row],[pi_email]]&amp;"&amp;subject=Your NSF Proposal:  "&amp;BudgetsTable[[#This Row],[prop_id]],BudgetsTable[[#This Row],[pi_email]]))</f>
        <v/>
      </c>
      <c r="P368" s="128" t="s">
        <v>13</v>
      </c>
      <c r="Q368" s="128">
        <v>1</v>
      </c>
      <c r="R368" s="128">
        <v>0.5</v>
      </c>
      <c r="S368" s="129">
        <v>0</v>
      </c>
      <c r="T368" s="129">
        <v>0</v>
      </c>
      <c r="U368" s="129">
        <v>0</v>
      </c>
      <c r="V368" s="130">
        <v>110067</v>
      </c>
      <c r="W368" s="128">
        <v>0</v>
      </c>
      <c r="X368" s="128">
        <v>2</v>
      </c>
      <c r="Y368" s="131" t="str">
        <f ca="1">IF(ISBLANK(BudgetsTable[[#This Row],[budg_seq_yr]]),"FY"&amp;fiscalyear,"FY"&amp;fiscalyear-1+BudgetsTable[[#This Row],[budg_seq_yr]])</f>
        <v>FY19</v>
      </c>
      <c r="Z368" s="129">
        <v>110067</v>
      </c>
      <c r="AA368" s="128" t="s">
        <v>741</v>
      </c>
      <c r="AB368" s="128" t="s">
        <v>528</v>
      </c>
      <c r="AC368" s="126" t="s">
        <v>94</v>
      </c>
      <c r="AD368" s="128" t="s">
        <v>744</v>
      </c>
    </row>
    <row r="369" spans="1:30">
      <c r="A369" s="125" t="s">
        <v>596</v>
      </c>
      <c r="B369" s="126" t="s">
        <v>96</v>
      </c>
      <c r="C369" s="126">
        <f>C368+(BudgetsTable[[#This Row],[lead]]&lt;&gt;K368)</f>
        <v>76</v>
      </c>
      <c r="D369" s="126">
        <f>D368*(BudgetsTable[[#This Row],[lead]]=K368)+(BudgetsTable[[#This Row],[prop_id]]&lt;&gt;A368)</f>
        <v>1</v>
      </c>
      <c r="E369" s="127">
        <v>42933.820138888892</v>
      </c>
      <c r="F369" s="128" t="s">
        <v>242</v>
      </c>
      <c r="G369" s="128" t="s">
        <v>741</v>
      </c>
      <c r="H369" s="128" t="s">
        <v>528</v>
      </c>
      <c r="I369" s="126" t="s">
        <v>540</v>
      </c>
      <c r="J369" s="126" t="s">
        <v>13</v>
      </c>
      <c r="K369" s="128" t="s">
        <v>596</v>
      </c>
      <c r="L369" s="7" t="str">
        <f>IF(BudgetsTable[[#This Row],[pi_last_name]]=" ","",HYPERLINK("https://www.ejacket.nsf.gov/ej/showProposal.do?Continue=Y&amp;ID="&amp;BudgetsTable[[#This Row],[prop_id]],BudgetsTable[[#This Row],[prop_id]]))</f>
        <v/>
      </c>
      <c r="M369" s="15" t="str">
        <f>IF(BudgetsTable[[#This Row],[pi_last_name]]=" ","",HYPERLINK("https://www.ejacket.nsf.gov/ej/processReviewAnalysis.do?dispatch=add&amp;uniqId="&amp;BudgetsTable[[#This Row],[prop_id]]&amp;PO_id,"&gt;ra"))</f>
        <v/>
      </c>
      <c r="N369" s="128" t="s">
        <v>13</v>
      </c>
      <c r="O369" s="7" t="str">
        <f>IF(BudgetsTable[[#This Row],[pi_last_name]]=" ","",HYPERLINK("mailto:"&amp;BudgetsTable[[#This Row],[pi_email]]&amp;"&amp;subject=Your NSF Proposal:  "&amp;BudgetsTable[[#This Row],[prop_id]],BudgetsTable[[#This Row],[pi_email]]))</f>
        <v/>
      </c>
      <c r="P369" s="128" t="s">
        <v>13</v>
      </c>
      <c r="Q369" s="128">
        <v>1</v>
      </c>
      <c r="R369" s="128">
        <v>0.5</v>
      </c>
      <c r="S369" s="129">
        <v>0</v>
      </c>
      <c r="T369" s="129">
        <v>0</v>
      </c>
      <c r="U369" s="129">
        <v>0</v>
      </c>
      <c r="V369" s="130">
        <v>114453</v>
      </c>
      <c r="W369" s="128">
        <v>0</v>
      </c>
      <c r="X369" s="128">
        <v>3</v>
      </c>
      <c r="Y369" s="131" t="str">
        <f ca="1">IF(ISBLANK(BudgetsTable[[#This Row],[budg_seq_yr]]),"FY"&amp;fiscalyear,"FY"&amp;fiscalyear-1+BudgetsTable[[#This Row],[budg_seq_yr]])</f>
        <v>FY20</v>
      </c>
      <c r="Z369" s="129">
        <v>114453</v>
      </c>
      <c r="AA369" s="128" t="s">
        <v>741</v>
      </c>
      <c r="AB369" s="128" t="s">
        <v>528</v>
      </c>
      <c r="AC369" s="126" t="s">
        <v>94</v>
      </c>
      <c r="AD369" s="128" t="s">
        <v>744</v>
      </c>
    </row>
    <row r="370" spans="1:30">
      <c r="A370" s="125" t="s">
        <v>596</v>
      </c>
      <c r="B370" s="126" t="s">
        <v>96</v>
      </c>
      <c r="C370" s="126">
        <f>C369+(BudgetsTable[[#This Row],[lead]]&lt;&gt;K369)</f>
        <v>76</v>
      </c>
      <c r="D370" s="126">
        <f>D369*(BudgetsTable[[#This Row],[lead]]=K369)+(BudgetsTable[[#This Row],[prop_id]]&lt;&gt;A369)</f>
        <v>1</v>
      </c>
      <c r="E370" s="127">
        <v>42933.820138888892</v>
      </c>
      <c r="F370" s="128" t="s">
        <v>242</v>
      </c>
      <c r="G370" s="128" t="s">
        <v>741</v>
      </c>
      <c r="H370" s="128" t="s">
        <v>528</v>
      </c>
      <c r="I370" s="126" t="s">
        <v>540</v>
      </c>
      <c r="J370" s="126" t="s">
        <v>13</v>
      </c>
      <c r="K370" s="128" t="s">
        <v>596</v>
      </c>
      <c r="L370" s="7" t="str">
        <f>IF(BudgetsTable[[#This Row],[pi_last_name]]=" ","",HYPERLINK("https://www.ejacket.nsf.gov/ej/showProposal.do?Continue=Y&amp;ID="&amp;BudgetsTable[[#This Row],[prop_id]],BudgetsTable[[#This Row],[prop_id]]))</f>
        <v/>
      </c>
      <c r="M370" s="15" t="str">
        <f>IF(BudgetsTable[[#This Row],[pi_last_name]]=" ","",HYPERLINK("https://www.ejacket.nsf.gov/ej/processReviewAnalysis.do?dispatch=add&amp;uniqId="&amp;BudgetsTable[[#This Row],[prop_id]]&amp;PO_id,"&gt;ra"))</f>
        <v/>
      </c>
      <c r="N370" s="128" t="s">
        <v>13</v>
      </c>
      <c r="O370" s="7" t="str">
        <f>IF(BudgetsTable[[#This Row],[pi_last_name]]=" ","",HYPERLINK("mailto:"&amp;BudgetsTable[[#This Row],[pi_email]]&amp;"&amp;subject=Your NSF Proposal:  "&amp;BudgetsTable[[#This Row],[prop_id]],BudgetsTable[[#This Row],[pi_email]]))</f>
        <v/>
      </c>
      <c r="P370" s="128" t="s">
        <v>13</v>
      </c>
      <c r="Q370" s="128">
        <v>1</v>
      </c>
      <c r="R370" s="128">
        <v>0.5</v>
      </c>
      <c r="S370" s="129">
        <v>0</v>
      </c>
      <c r="T370" s="129">
        <v>0</v>
      </c>
      <c r="U370" s="129">
        <v>0</v>
      </c>
      <c r="V370" s="130">
        <v>119025</v>
      </c>
      <c r="W370" s="128">
        <v>0</v>
      </c>
      <c r="X370" s="128">
        <v>4</v>
      </c>
      <c r="Y370" s="131" t="str">
        <f ca="1">IF(ISBLANK(BudgetsTable[[#This Row],[budg_seq_yr]]),"FY"&amp;fiscalyear,"FY"&amp;fiscalyear-1+BudgetsTable[[#This Row],[budg_seq_yr]])</f>
        <v>FY21</v>
      </c>
      <c r="Z370" s="129">
        <v>119025</v>
      </c>
      <c r="AA370" s="128" t="s">
        <v>741</v>
      </c>
      <c r="AB370" s="128" t="s">
        <v>528</v>
      </c>
      <c r="AC370" s="126" t="s">
        <v>94</v>
      </c>
      <c r="AD370" s="128" t="s">
        <v>744</v>
      </c>
    </row>
    <row r="371" spans="1:30">
      <c r="A371" s="125" t="s">
        <v>596</v>
      </c>
      <c r="B371" s="126" t="s">
        <v>96</v>
      </c>
      <c r="C371" s="126">
        <f>C370+(BudgetsTable[[#This Row],[lead]]&lt;&gt;K370)</f>
        <v>76</v>
      </c>
      <c r="D371" s="126">
        <f>D370*(BudgetsTable[[#This Row],[lead]]=K370)+(BudgetsTable[[#This Row],[prop_id]]&lt;&gt;A370)</f>
        <v>1</v>
      </c>
      <c r="E371" s="127">
        <v>42933.820138888892</v>
      </c>
      <c r="F371" s="128" t="s">
        <v>242</v>
      </c>
      <c r="G371" s="128" t="s">
        <v>741</v>
      </c>
      <c r="H371" s="128" t="s">
        <v>528</v>
      </c>
      <c r="I371" s="126" t="s">
        <v>540</v>
      </c>
      <c r="J371" s="126" t="s">
        <v>13</v>
      </c>
      <c r="K371" s="128" t="s">
        <v>596</v>
      </c>
      <c r="L371" s="7" t="str">
        <f>IF(BudgetsTable[[#This Row],[pi_last_name]]=" ","",HYPERLINK("https://www.ejacket.nsf.gov/ej/showProposal.do?Continue=Y&amp;ID="&amp;BudgetsTable[[#This Row],[prop_id]],BudgetsTable[[#This Row],[prop_id]]))</f>
        <v/>
      </c>
      <c r="M371" s="15" t="str">
        <f>IF(BudgetsTable[[#This Row],[pi_last_name]]=" ","",HYPERLINK("https://www.ejacket.nsf.gov/ej/processReviewAnalysis.do?dispatch=add&amp;uniqId="&amp;BudgetsTable[[#This Row],[prop_id]]&amp;PO_id,"&gt;ra"))</f>
        <v/>
      </c>
      <c r="N371" s="128" t="s">
        <v>13</v>
      </c>
      <c r="O371" s="7" t="str">
        <f>IF(BudgetsTable[[#This Row],[pi_last_name]]=" ","",HYPERLINK("mailto:"&amp;BudgetsTable[[#This Row],[pi_email]]&amp;"&amp;subject=Your NSF Proposal:  "&amp;BudgetsTable[[#This Row],[prop_id]],BudgetsTable[[#This Row],[pi_email]]))</f>
        <v/>
      </c>
      <c r="P371" s="128" t="s">
        <v>13</v>
      </c>
      <c r="Q371" s="128">
        <v>1</v>
      </c>
      <c r="R371" s="128">
        <v>0.5</v>
      </c>
      <c r="S371" s="129">
        <v>0</v>
      </c>
      <c r="T371" s="129">
        <v>0</v>
      </c>
      <c r="U371" s="129">
        <v>0</v>
      </c>
      <c r="V371" s="130">
        <v>100707</v>
      </c>
      <c r="W371" s="128">
        <v>0</v>
      </c>
      <c r="X371" s="128">
        <v>5</v>
      </c>
      <c r="Y371" s="131" t="str">
        <f ca="1">IF(ISBLANK(BudgetsTable[[#This Row],[budg_seq_yr]]),"FY"&amp;fiscalyear,"FY"&amp;fiscalyear-1+BudgetsTable[[#This Row],[budg_seq_yr]])</f>
        <v>FY22</v>
      </c>
      <c r="Z371" s="129">
        <v>100707</v>
      </c>
      <c r="AA371" s="128" t="s">
        <v>741</v>
      </c>
      <c r="AB371" s="128" t="s">
        <v>528</v>
      </c>
      <c r="AC371" s="126" t="s">
        <v>94</v>
      </c>
      <c r="AD371" s="128" t="s">
        <v>744</v>
      </c>
    </row>
    <row r="372" spans="1:30">
      <c r="A372" s="125" t="s">
        <v>1532</v>
      </c>
      <c r="B372" s="126" t="s">
        <v>96</v>
      </c>
      <c r="C372" s="126">
        <f>C371+(BudgetsTable[[#This Row],[lead]]&lt;&gt;K371)</f>
        <v>77</v>
      </c>
      <c r="D372" s="126">
        <f>D371*(BudgetsTable[[#This Row],[lead]]=K371)+(BudgetsTable[[#This Row],[prop_id]]&lt;&gt;A371)</f>
        <v>1</v>
      </c>
      <c r="E372" s="127">
        <v>42934.453472222223</v>
      </c>
      <c r="F372" s="128" t="s">
        <v>242</v>
      </c>
      <c r="G372" s="128" t="s">
        <v>741</v>
      </c>
      <c r="H372" s="128" t="s">
        <v>528</v>
      </c>
      <c r="I372" s="126" t="s">
        <v>1530</v>
      </c>
      <c r="J372" s="126" t="s">
        <v>2361</v>
      </c>
      <c r="K372" s="128" t="s">
        <v>1532</v>
      </c>
      <c r="L372" s="7" t="str">
        <f>IF(BudgetsTable[[#This Row],[pi_last_name]]=" ","",HYPERLINK("https://www.ejacket.nsf.gov/ej/showProposal.do?Continue=Y&amp;ID="&amp;BudgetsTable[[#This Row],[prop_id]],BudgetsTable[[#This Row],[prop_id]]))</f>
        <v>1749678</v>
      </c>
      <c r="M372" s="15" t="str">
        <f>IF(BudgetsTable[[#This Row],[pi_last_name]]=" ","",HYPERLINK("https://www.ejacket.nsf.gov/ej/processReviewAnalysis.do?dispatch=add&amp;uniqId="&amp;BudgetsTable[[#This Row],[prop_id]]&amp;PO_id,"&gt;ra"))</f>
        <v>&gt;ra</v>
      </c>
      <c r="N372" s="128" t="s">
        <v>1533</v>
      </c>
      <c r="O372" s="7" t="str">
        <f>IF(BudgetsTable[[#This Row],[pi_last_name]]=" ","",HYPERLINK("mailto:"&amp;BudgetsTable[[#This Row],[pi_email]]&amp;"&amp;subject=Your NSF Proposal:  "&amp;BudgetsTable[[#This Row],[prop_id]],BudgetsTable[[#This Row],[pi_email]]))</f>
        <v>sim3@ucmerced.edu</v>
      </c>
      <c r="P372" s="128" t="s">
        <v>2359</v>
      </c>
      <c r="Q372" s="128"/>
      <c r="R372" s="128"/>
      <c r="S372" s="129"/>
      <c r="T372" s="129"/>
      <c r="U372" s="129"/>
      <c r="V372" s="130"/>
      <c r="W372" s="128">
        <v>0</v>
      </c>
      <c r="X372" s="128"/>
      <c r="Y372" s="131" t="str">
        <f ca="1">IF(ISBLANK(BudgetsTable[[#This Row],[budg_seq_yr]]),"FY"&amp;fiscalyear,"FY"&amp;fiscalyear-1+BudgetsTable[[#This Row],[budg_seq_yr]])</f>
        <v>FY18</v>
      </c>
      <c r="Z372" s="129">
        <v>514477</v>
      </c>
      <c r="AA372" s="128" t="s">
        <v>741</v>
      </c>
      <c r="AB372" s="128" t="s">
        <v>528</v>
      </c>
      <c r="AC372" s="126" t="s">
        <v>94</v>
      </c>
      <c r="AD372" s="128" t="s">
        <v>744</v>
      </c>
    </row>
    <row r="373" spans="1:30">
      <c r="A373" s="125" t="s">
        <v>1532</v>
      </c>
      <c r="B373" s="126" t="s">
        <v>96</v>
      </c>
      <c r="C373" s="126">
        <f>C372+(BudgetsTable[[#This Row],[lead]]&lt;&gt;K372)</f>
        <v>77</v>
      </c>
      <c r="D373" s="126">
        <f>D372*(BudgetsTable[[#This Row],[lead]]=K372)+(BudgetsTable[[#This Row],[prop_id]]&lt;&gt;A372)</f>
        <v>1</v>
      </c>
      <c r="E373" s="127">
        <v>42934.453472222223</v>
      </c>
      <c r="F373" s="128" t="s">
        <v>242</v>
      </c>
      <c r="G373" s="128" t="s">
        <v>741</v>
      </c>
      <c r="H373" s="128" t="s">
        <v>528</v>
      </c>
      <c r="I373" s="126" t="s">
        <v>1530</v>
      </c>
      <c r="J373" s="126" t="s">
        <v>13</v>
      </c>
      <c r="K373" s="128" t="s">
        <v>1532</v>
      </c>
      <c r="L373" s="7" t="str">
        <f>IF(BudgetsTable[[#This Row],[pi_last_name]]=" ","",HYPERLINK("https://www.ejacket.nsf.gov/ej/showProposal.do?Continue=Y&amp;ID="&amp;BudgetsTable[[#This Row],[prop_id]],BudgetsTable[[#This Row],[prop_id]]))</f>
        <v/>
      </c>
      <c r="M373" s="15" t="str">
        <f>IF(BudgetsTable[[#This Row],[pi_last_name]]=" ","",HYPERLINK("https://www.ejacket.nsf.gov/ej/processReviewAnalysis.do?dispatch=add&amp;uniqId="&amp;BudgetsTable[[#This Row],[prop_id]]&amp;PO_id,"&gt;ra"))</f>
        <v/>
      </c>
      <c r="N373" s="128" t="s">
        <v>13</v>
      </c>
      <c r="O373" s="7" t="str">
        <f>IF(BudgetsTable[[#This Row],[pi_last_name]]=" ","",HYPERLINK("mailto:"&amp;BudgetsTable[[#This Row],[pi_email]]&amp;"&amp;subject=Your NSF Proposal:  "&amp;BudgetsTable[[#This Row],[prop_id]],BudgetsTable[[#This Row],[pi_email]]))</f>
        <v/>
      </c>
      <c r="P373" s="128" t="s">
        <v>13</v>
      </c>
      <c r="Q373" s="128">
        <v>0</v>
      </c>
      <c r="R373" s="128">
        <v>0</v>
      </c>
      <c r="S373" s="129">
        <v>0</v>
      </c>
      <c r="T373" s="129">
        <v>0</v>
      </c>
      <c r="U373" s="129">
        <v>0</v>
      </c>
      <c r="V373" s="130">
        <v>91413</v>
      </c>
      <c r="W373" s="128">
        <v>0</v>
      </c>
      <c r="X373" s="128">
        <v>1</v>
      </c>
      <c r="Y373" s="131" t="str">
        <f ca="1">IF(ISBLANK(BudgetsTable[[#This Row],[budg_seq_yr]]),"FY"&amp;fiscalyear,"FY"&amp;fiscalyear-1+BudgetsTable[[#This Row],[budg_seq_yr]])</f>
        <v>FY18</v>
      </c>
      <c r="Z373" s="129">
        <v>91413</v>
      </c>
      <c r="AA373" s="128" t="s">
        <v>741</v>
      </c>
      <c r="AB373" s="128" t="s">
        <v>528</v>
      </c>
      <c r="AC373" s="126" t="s">
        <v>94</v>
      </c>
      <c r="AD373" s="128" t="s">
        <v>744</v>
      </c>
    </row>
    <row r="374" spans="1:30">
      <c r="A374" s="125" t="s">
        <v>1532</v>
      </c>
      <c r="B374" s="126" t="s">
        <v>96</v>
      </c>
      <c r="C374" s="126">
        <f>C373+(BudgetsTable[[#This Row],[lead]]&lt;&gt;K373)</f>
        <v>77</v>
      </c>
      <c r="D374" s="126">
        <f>D373*(BudgetsTable[[#This Row],[lead]]=K373)+(BudgetsTable[[#This Row],[prop_id]]&lt;&gt;A373)</f>
        <v>1</v>
      </c>
      <c r="E374" s="127">
        <v>42934.453472222223</v>
      </c>
      <c r="F374" s="128" t="s">
        <v>242</v>
      </c>
      <c r="G374" s="128" t="s">
        <v>741</v>
      </c>
      <c r="H374" s="128" t="s">
        <v>528</v>
      </c>
      <c r="I374" s="126" t="s">
        <v>1530</v>
      </c>
      <c r="J374" s="126" t="s">
        <v>13</v>
      </c>
      <c r="K374" s="128" t="s">
        <v>1532</v>
      </c>
      <c r="L374" s="7" t="str">
        <f>IF(BudgetsTable[[#This Row],[pi_last_name]]=" ","",HYPERLINK("https://www.ejacket.nsf.gov/ej/showProposal.do?Continue=Y&amp;ID="&amp;BudgetsTable[[#This Row],[prop_id]],BudgetsTable[[#This Row],[prop_id]]))</f>
        <v/>
      </c>
      <c r="M374" s="15" t="str">
        <f>IF(BudgetsTable[[#This Row],[pi_last_name]]=" ","",HYPERLINK("https://www.ejacket.nsf.gov/ej/processReviewAnalysis.do?dispatch=add&amp;uniqId="&amp;BudgetsTable[[#This Row],[prop_id]]&amp;PO_id,"&gt;ra"))</f>
        <v/>
      </c>
      <c r="N374" s="128" t="s">
        <v>13</v>
      </c>
      <c r="O374" s="7" t="str">
        <f>IF(BudgetsTable[[#This Row],[pi_last_name]]=" ","",HYPERLINK("mailto:"&amp;BudgetsTable[[#This Row],[pi_email]]&amp;"&amp;subject=Your NSF Proposal:  "&amp;BudgetsTable[[#This Row],[prop_id]],BudgetsTable[[#This Row],[pi_email]]))</f>
        <v/>
      </c>
      <c r="P374" s="128" t="s">
        <v>13</v>
      </c>
      <c r="Q374" s="128">
        <v>1</v>
      </c>
      <c r="R374" s="128">
        <v>1</v>
      </c>
      <c r="S374" s="129">
        <v>0</v>
      </c>
      <c r="T374" s="129">
        <v>0</v>
      </c>
      <c r="U374" s="129">
        <v>0</v>
      </c>
      <c r="V374" s="130">
        <v>113277</v>
      </c>
      <c r="W374" s="128">
        <v>0</v>
      </c>
      <c r="X374" s="128">
        <v>2</v>
      </c>
      <c r="Y374" s="131" t="str">
        <f ca="1">IF(ISBLANK(BudgetsTable[[#This Row],[budg_seq_yr]]),"FY"&amp;fiscalyear,"FY"&amp;fiscalyear-1+BudgetsTable[[#This Row],[budg_seq_yr]])</f>
        <v>FY19</v>
      </c>
      <c r="Z374" s="129">
        <v>113277</v>
      </c>
      <c r="AA374" s="128" t="s">
        <v>741</v>
      </c>
      <c r="AB374" s="128" t="s">
        <v>528</v>
      </c>
      <c r="AC374" s="126" t="s">
        <v>94</v>
      </c>
      <c r="AD374" s="128" t="s">
        <v>744</v>
      </c>
    </row>
    <row r="375" spans="1:30">
      <c r="A375" s="125" t="s">
        <v>1532</v>
      </c>
      <c r="B375" s="126" t="s">
        <v>96</v>
      </c>
      <c r="C375" s="126">
        <f>C374+(BudgetsTable[[#This Row],[lead]]&lt;&gt;K374)</f>
        <v>77</v>
      </c>
      <c r="D375" s="126">
        <f>D374*(BudgetsTable[[#This Row],[lead]]=K374)+(BudgetsTable[[#This Row],[prop_id]]&lt;&gt;A374)</f>
        <v>1</v>
      </c>
      <c r="E375" s="127">
        <v>42934.453472222223</v>
      </c>
      <c r="F375" s="128" t="s">
        <v>242</v>
      </c>
      <c r="G375" s="128" t="s">
        <v>741</v>
      </c>
      <c r="H375" s="128" t="s">
        <v>528</v>
      </c>
      <c r="I375" s="126" t="s">
        <v>1530</v>
      </c>
      <c r="J375" s="126" t="s">
        <v>13</v>
      </c>
      <c r="K375" s="128" t="s">
        <v>1532</v>
      </c>
      <c r="L375" s="7" t="str">
        <f>IF(BudgetsTable[[#This Row],[pi_last_name]]=" ","",HYPERLINK("https://www.ejacket.nsf.gov/ej/showProposal.do?Continue=Y&amp;ID="&amp;BudgetsTable[[#This Row],[prop_id]],BudgetsTable[[#This Row],[prop_id]]))</f>
        <v/>
      </c>
      <c r="M375" s="15" t="str">
        <f>IF(BudgetsTable[[#This Row],[pi_last_name]]=" ","",HYPERLINK("https://www.ejacket.nsf.gov/ej/processReviewAnalysis.do?dispatch=add&amp;uniqId="&amp;BudgetsTable[[#This Row],[prop_id]]&amp;PO_id,"&gt;ra"))</f>
        <v/>
      </c>
      <c r="N375" s="128" t="s">
        <v>13</v>
      </c>
      <c r="O375" s="7" t="str">
        <f>IF(BudgetsTable[[#This Row],[pi_last_name]]=" ","",HYPERLINK("mailto:"&amp;BudgetsTable[[#This Row],[pi_email]]&amp;"&amp;subject=Your NSF Proposal:  "&amp;BudgetsTable[[#This Row],[prop_id]],BudgetsTable[[#This Row],[pi_email]]))</f>
        <v/>
      </c>
      <c r="P375" s="128" t="s">
        <v>13</v>
      </c>
      <c r="Q375" s="128">
        <v>1</v>
      </c>
      <c r="R375" s="128">
        <v>2</v>
      </c>
      <c r="S375" s="129">
        <v>0</v>
      </c>
      <c r="T375" s="129">
        <v>0</v>
      </c>
      <c r="U375" s="129">
        <v>0</v>
      </c>
      <c r="V375" s="130">
        <v>100094</v>
      </c>
      <c r="W375" s="128">
        <v>0</v>
      </c>
      <c r="X375" s="128">
        <v>3</v>
      </c>
      <c r="Y375" s="131" t="str">
        <f ca="1">IF(ISBLANK(BudgetsTable[[#This Row],[budg_seq_yr]]),"FY"&amp;fiscalyear,"FY"&amp;fiscalyear-1+BudgetsTable[[#This Row],[budg_seq_yr]])</f>
        <v>FY20</v>
      </c>
      <c r="Z375" s="129">
        <v>100094</v>
      </c>
      <c r="AA375" s="128" t="s">
        <v>741</v>
      </c>
      <c r="AB375" s="128" t="s">
        <v>528</v>
      </c>
      <c r="AC375" s="126" t="s">
        <v>94</v>
      </c>
      <c r="AD375" s="128" t="s">
        <v>744</v>
      </c>
    </row>
    <row r="376" spans="1:30">
      <c r="A376" s="125" t="s">
        <v>1532</v>
      </c>
      <c r="B376" s="126" t="s">
        <v>96</v>
      </c>
      <c r="C376" s="126">
        <f>C375+(BudgetsTable[[#This Row],[lead]]&lt;&gt;K375)</f>
        <v>77</v>
      </c>
      <c r="D376" s="126">
        <f>D375*(BudgetsTable[[#This Row],[lead]]=K375)+(BudgetsTable[[#This Row],[prop_id]]&lt;&gt;A375)</f>
        <v>1</v>
      </c>
      <c r="E376" s="127">
        <v>42934.453472222223</v>
      </c>
      <c r="F376" s="128" t="s">
        <v>242</v>
      </c>
      <c r="G376" s="128" t="s">
        <v>741</v>
      </c>
      <c r="H376" s="128" t="s">
        <v>528</v>
      </c>
      <c r="I376" s="126" t="s">
        <v>1530</v>
      </c>
      <c r="J376" s="126" t="s">
        <v>13</v>
      </c>
      <c r="K376" s="128" t="s">
        <v>1532</v>
      </c>
      <c r="L376" s="7" t="str">
        <f>IF(BudgetsTable[[#This Row],[pi_last_name]]=" ","",HYPERLINK("https://www.ejacket.nsf.gov/ej/showProposal.do?Continue=Y&amp;ID="&amp;BudgetsTable[[#This Row],[prop_id]],BudgetsTable[[#This Row],[prop_id]]))</f>
        <v/>
      </c>
      <c r="M376" s="15" t="str">
        <f>IF(BudgetsTable[[#This Row],[pi_last_name]]=" ","",HYPERLINK("https://www.ejacket.nsf.gov/ej/processReviewAnalysis.do?dispatch=add&amp;uniqId="&amp;BudgetsTable[[#This Row],[prop_id]]&amp;PO_id,"&gt;ra"))</f>
        <v/>
      </c>
      <c r="N376" s="128" t="s">
        <v>13</v>
      </c>
      <c r="O376" s="7" t="str">
        <f>IF(BudgetsTable[[#This Row],[pi_last_name]]=" ","",HYPERLINK("mailto:"&amp;BudgetsTable[[#This Row],[pi_email]]&amp;"&amp;subject=Your NSF Proposal:  "&amp;BudgetsTable[[#This Row],[prop_id]],BudgetsTable[[#This Row],[pi_email]]))</f>
        <v/>
      </c>
      <c r="P376" s="128" t="s">
        <v>13</v>
      </c>
      <c r="Q376" s="128">
        <v>1</v>
      </c>
      <c r="R376" s="128">
        <v>2</v>
      </c>
      <c r="S376" s="129">
        <v>0</v>
      </c>
      <c r="T376" s="129">
        <v>0</v>
      </c>
      <c r="U376" s="129">
        <v>0</v>
      </c>
      <c r="V376" s="130">
        <v>103215</v>
      </c>
      <c r="W376" s="128">
        <v>0</v>
      </c>
      <c r="X376" s="128">
        <v>4</v>
      </c>
      <c r="Y376" s="131" t="str">
        <f ca="1">IF(ISBLANK(BudgetsTable[[#This Row],[budg_seq_yr]]),"FY"&amp;fiscalyear,"FY"&amp;fiscalyear-1+BudgetsTable[[#This Row],[budg_seq_yr]])</f>
        <v>FY21</v>
      </c>
      <c r="Z376" s="129">
        <v>103215</v>
      </c>
      <c r="AA376" s="128" t="s">
        <v>741</v>
      </c>
      <c r="AB376" s="128" t="s">
        <v>528</v>
      </c>
      <c r="AC376" s="126" t="s">
        <v>94</v>
      </c>
      <c r="AD376" s="128" t="s">
        <v>744</v>
      </c>
    </row>
    <row r="377" spans="1:30">
      <c r="A377" s="125" t="s">
        <v>1532</v>
      </c>
      <c r="B377" s="126" t="s">
        <v>96</v>
      </c>
      <c r="C377" s="126">
        <f>C376+(BudgetsTable[[#This Row],[lead]]&lt;&gt;K376)</f>
        <v>77</v>
      </c>
      <c r="D377" s="126">
        <f>D376*(BudgetsTable[[#This Row],[lead]]=K376)+(BudgetsTable[[#This Row],[prop_id]]&lt;&gt;A376)</f>
        <v>1</v>
      </c>
      <c r="E377" s="127">
        <v>42934.453472222223</v>
      </c>
      <c r="F377" s="128" t="s">
        <v>242</v>
      </c>
      <c r="G377" s="128" t="s">
        <v>741</v>
      </c>
      <c r="H377" s="128" t="s">
        <v>528</v>
      </c>
      <c r="I377" s="126" t="s">
        <v>1530</v>
      </c>
      <c r="J377" s="126" t="s">
        <v>13</v>
      </c>
      <c r="K377" s="128" t="s">
        <v>1532</v>
      </c>
      <c r="L377" s="7" t="str">
        <f>IF(BudgetsTable[[#This Row],[pi_last_name]]=" ","",HYPERLINK("https://www.ejacket.nsf.gov/ej/showProposal.do?Continue=Y&amp;ID="&amp;BudgetsTable[[#This Row],[prop_id]],BudgetsTable[[#This Row],[prop_id]]))</f>
        <v/>
      </c>
      <c r="M377" s="15" t="str">
        <f>IF(BudgetsTable[[#This Row],[pi_last_name]]=" ","",HYPERLINK("https://www.ejacket.nsf.gov/ej/processReviewAnalysis.do?dispatch=add&amp;uniqId="&amp;BudgetsTable[[#This Row],[prop_id]]&amp;PO_id,"&gt;ra"))</f>
        <v/>
      </c>
      <c r="N377" s="128" t="s">
        <v>13</v>
      </c>
      <c r="O377" s="7" t="str">
        <f>IF(BudgetsTable[[#This Row],[pi_last_name]]=" ","",HYPERLINK("mailto:"&amp;BudgetsTable[[#This Row],[pi_email]]&amp;"&amp;subject=Your NSF Proposal:  "&amp;BudgetsTable[[#This Row],[prop_id]],BudgetsTable[[#This Row],[pi_email]]))</f>
        <v/>
      </c>
      <c r="P377" s="128" t="s">
        <v>13</v>
      </c>
      <c r="Q377" s="128">
        <v>1</v>
      </c>
      <c r="R377" s="128">
        <v>2</v>
      </c>
      <c r="S377" s="129">
        <v>0</v>
      </c>
      <c r="T377" s="129">
        <v>0</v>
      </c>
      <c r="U377" s="129">
        <v>0</v>
      </c>
      <c r="V377" s="130">
        <v>106478</v>
      </c>
      <c r="W377" s="128">
        <v>0</v>
      </c>
      <c r="X377" s="128">
        <v>5</v>
      </c>
      <c r="Y377" s="131" t="str">
        <f ca="1">IF(ISBLANK(BudgetsTable[[#This Row],[budg_seq_yr]]),"FY"&amp;fiscalyear,"FY"&amp;fiscalyear-1+BudgetsTable[[#This Row],[budg_seq_yr]])</f>
        <v>FY22</v>
      </c>
      <c r="Z377" s="129">
        <v>106478</v>
      </c>
      <c r="AA377" s="128" t="s">
        <v>741</v>
      </c>
      <c r="AB377" s="128" t="s">
        <v>528</v>
      </c>
      <c r="AC377" s="126" t="s">
        <v>94</v>
      </c>
      <c r="AD377" s="128" t="s">
        <v>744</v>
      </c>
    </row>
    <row r="378" spans="1:30">
      <c r="A378" s="125" t="s">
        <v>1540</v>
      </c>
      <c r="B378" s="126" t="s">
        <v>96</v>
      </c>
      <c r="C378" s="126">
        <f>C377+(BudgetsTable[[#This Row],[lead]]&lt;&gt;K377)</f>
        <v>78</v>
      </c>
      <c r="D378" s="126">
        <f>D377*(BudgetsTable[[#This Row],[lead]]=K377)+(BudgetsTable[[#This Row],[prop_id]]&lt;&gt;A377)</f>
        <v>1</v>
      </c>
      <c r="E378" s="127">
        <v>42934.507638888892</v>
      </c>
      <c r="F378" s="128" t="s">
        <v>242</v>
      </c>
      <c r="G378" s="128" t="s">
        <v>741</v>
      </c>
      <c r="H378" s="128" t="s">
        <v>528</v>
      </c>
      <c r="I378" s="126" t="s">
        <v>1530</v>
      </c>
      <c r="J378" s="126" t="s">
        <v>2364</v>
      </c>
      <c r="K378" s="128" t="s">
        <v>1540</v>
      </c>
      <c r="L378" s="7" t="str">
        <f>IF(BudgetsTable[[#This Row],[pi_last_name]]=" ","",HYPERLINK("https://www.ejacket.nsf.gov/ej/showProposal.do?Continue=Y&amp;ID="&amp;BudgetsTable[[#This Row],[prop_id]],BudgetsTable[[#This Row],[prop_id]]))</f>
        <v>1749734</v>
      </c>
      <c r="M378" s="15" t="str">
        <f>IF(BudgetsTable[[#This Row],[pi_last_name]]=" ","",HYPERLINK("https://www.ejacket.nsf.gov/ej/processReviewAnalysis.do?dispatch=add&amp;uniqId="&amp;BudgetsTable[[#This Row],[prop_id]]&amp;PO_id,"&gt;ra"))</f>
        <v>&gt;ra</v>
      </c>
      <c r="N378" s="128" t="s">
        <v>1541</v>
      </c>
      <c r="O378" s="7" t="str">
        <f>IF(BudgetsTable[[#This Row],[pi_last_name]]=" ","",HYPERLINK("mailto:"&amp;BudgetsTable[[#This Row],[pi_email]]&amp;"&amp;subject=Your NSF Proposal:  "&amp;BudgetsTable[[#This Row],[prop_id]],BudgetsTable[[#This Row],[pi_email]]))</f>
        <v>sidford@stanford.edu</v>
      </c>
      <c r="P378" s="128" t="s">
        <v>2035</v>
      </c>
      <c r="Q378" s="128"/>
      <c r="R378" s="128"/>
      <c r="S378" s="129"/>
      <c r="T378" s="129"/>
      <c r="U378" s="129"/>
      <c r="V378" s="130"/>
      <c r="W378" s="128">
        <v>0</v>
      </c>
      <c r="X378" s="128"/>
      <c r="Y378" s="131" t="str">
        <f ca="1">IF(ISBLANK(BudgetsTable[[#This Row],[budg_seq_yr]]),"FY"&amp;fiscalyear,"FY"&amp;fiscalyear-1+BudgetsTable[[#This Row],[budg_seq_yr]])</f>
        <v>FY18</v>
      </c>
      <c r="Z378" s="129">
        <v>500000</v>
      </c>
      <c r="AA378" s="128" t="s">
        <v>741</v>
      </c>
      <c r="AB378" s="128" t="s">
        <v>528</v>
      </c>
      <c r="AC378" s="126" t="s">
        <v>94</v>
      </c>
      <c r="AD378" s="128" t="s">
        <v>250</v>
      </c>
    </row>
    <row r="379" spans="1:30">
      <c r="A379" s="125" t="s">
        <v>1540</v>
      </c>
      <c r="B379" s="126" t="s">
        <v>96</v>
      </c>
      <c r="C379" s="126">
        <f>C378+(BudgetsTable[[#This Row],[lead]]&lt;&gt;K378)</f>
        <v>78</v>
      </c>
      <c r="D379" s="126">
        <f>D378*(BudgetsTable[[#This Row],[lead]]=K378)+(BudgetsTable[[#This Row],[prop_id]]&lt;&gt;A378)</f>
        <v>1</v>
      </c>
      <c r="E379" s="127">
        <v>42934.507638888892</v>
      </c>
      <c r="F379" s="128" t="s">
        <v>242</v>
      </c>
      <c r="G379" s="128" t="s">
        <v>741</v>
      </c>
      <c r="H379" s="128" t="s">
        <v>528</v>
      </c>
      <c r="I379" s="126" t="s">
        <v>1530</v>
      </c>
      <c r="J379" s="126" t="s">
        <v>13</v>
      </c>
      <c r="K379" s="128" t="s">
        <v>1540</v>
      </c>
      <c r="L379" s="7" t="str">
        <f>IF(BudgetsTable[[#This Row],[pi_last_name]]=" ","",HYPERLINK("https://www.ejacket.nsf.gov/ej/showProposal.do?Continue=Y&amp;ID="&amp;BudgetsTable[[#This Row],[prop_id]],BudgetsTable[[#This Row],[prop_id]]))</f>
        <v/>
      </c>
      <c r="M379" s="15" t="str">
        <f>IF(BudgetsTable[[#This Row],[pi_last_name]]=" ","",HYPERLINK("https://www.ejacket.nsf.gov/ej/processReviewAnalysis.do?dispatch=add&amp;uniqId="&amp;BudgetsTable[[#This Row],[prop_id]]&amp;PO_id,"&gt;ra"))</f>
        <v/>
      </c>
      <c r="N379" s="128" t="s">
        <v>13</v>
      </c>
      <c r="O379" s="7" t="str">
        <f>IF(BudgetsTable[[#This Row],[pi_last_name]]=" ","",HYPERLINK("mailto:"&amp;BudgetsTable[[#This Row],[pi_email]]&amp;"&amp;subject=Your NSF Proposal:  "&amp;BudgetsTable[[#This Row],[prop_id]],BudgetsTable[[#This Row],[pi_email]]))</f>
        <v/>
      </c>
      <c r="P379" s="128" t="s">
        <v>13</v>
      </c>
      <c r="Q379" s="128">
        <v>1</v>
      </c>
      <c r="R379" s="128">
        <v>1.35</v>
      </c>
      <c r="S379" s="129">
        <v>0</v>
      </c>
      <c r="T379" s="129">
        <v>0</v>
      </c>
      <c r="U379" s="129">
        <v>1500</v>
      </c>
      <c r="V379" s="130">
        <v>94388</v>
      </c>
      <c r="W379" s="128">
        <v>0</v>
      </c>
      <c r="X379" s="128">
        <v>1</v>
      </c>
      <c r="Y379" s="131" t="str">
        <f ca="1">IF(ISBLANK(BudgetsTable[[#This Row],[budg_seq_yr]]),"FY"&amp;fiscalyear,"FY"&amp;fiscalyear-1+BudgetsTable[[#This Row],[budg_seq_yr]])</f>
        <v>FY18</v>
      </c>
      <c r="Z379" s="129">
        <v>94388</v>
      </c>
      <c r="AA379" s="128" t="s">
        <v>741</v>
      </c>
      <c r="AB379" s="128" t="s">
        <v>528</v>
      </c>
      <c r="AC379" s="126" t="s">
        <v>94</v>
      </c>
      <c r="AD379" s="128" t="s">
        <v>250</v>
      </c>
    </row>
    <row r="380" spans="1:30">
      <c r="A380" s="125" t="s">
        <v>1540</v>
      </c>
      <c r="B380" s="126" t="s">
        <v>96</v>
      </c>
      <c r="C380" s="126">
        <f>C379+(BudgetsTable[[#This Row],[lead]]&lt;&gt;K379)</f>
        <v>78</v>
      </c>
      <c r="D380" s="126">
        <f>D379*(BudgetsTable[[#This Row],[lead]]=K379)+(BudgetsTable[[#This Row],[prop_id]]&lt;&gt;A379)</f>
        <v>1</v>
      </c>
      <c r="E380" s="127">
        <v>42934.507638888892</v>
      </c>
      <c r="F380" s="128" t="s">
        <v>242</v>
      </c>
      <c r="G380" s="128" t="s">
        <v>741</v>
      </c>
      <c r="H380" s="128" t="s">
        <v>528</v>
      </c>
      <c r="I380" s="126" t="s">
        <v>1530</v>
      </c>
      <c r="J380" s="126" t="s">
        <v>13</v>
      </c>
      <c r="K380" s="128" t="s">
        <v>1540</v>
      </c>
      <c r="L380" s="7" t="str">
        <f>IF(BudgetsTable[[#This Row],[pi_last_name]]=" ","",HYPERLINK("https://www.ejacket.nsf.gov/ej/showProposal.do?Continue=Y&amp;ID="&amp;BudgetsTable[[#This Row],[prop_id]],BudgetsTable[[#This Row],[prop_id]]))</f>
        <v/>
      </c>
      <c r="M380" s="15" t="str">
        <f>IF(BudgetsTable[[#This Row],[pi_last_name]]=" ","",HYPERLINK("https://www.ejacket.nsf.gov/ej/processReviewAnalysis.do?dispatch=add&amp;uniqId="&amp;BudgetsTable[[#This Row],[prop_id]]&amp;PO_id,"&gt;ra"))</f>
        <v/>
      </c>
      <c r="N380" s="128" t="s">
        <v>13</v>
      </c>
      <c r="O380" s="7" t="str">
        <f>IF(BudgetsTable[[#This Row],[pi_last_name]]=" ","",HYPERLINK("mailto:"&amp;BudgetsTable[[#This Row],[pi_email]]&amp;"&amp;subject=Your NSF Proposal:  "&amp;BudgetsTable[[#This Row],[prop_id]],BudgetsTable[[#This Row],[pi_email]]))</f>
        <v/>
      </c>
      <c r="P380" s="128" t="s">
        <v>13</v>
      </c>
      <c r="Q380" s="128">
        <v>1</v>
      </c>
      <c r="R380" s="128">
        <v>1.35</v>
      </c>
      <c r="S380" s="129">
        <v>0</v>
      </c>
      <c r="T380" s="129">
        <v>0</v>
      </c>
      <c r="U380" s="129">
        <v>1500</v>
      </c>
      <c r="V380" s="130">
        <v>97104</v>
      </c>
      <c r="W380" s="128">
        <v>0</v>
      </c>
      <c r="X380" s="128">
        <v>2</v>
      </c>
      <c r="Y380" s="131" t="str">
        <f ca="1">IF(ISBLANK(BudgetsTable[[#This Row],[budg_seq_yr]]),"FY"&amp;fiscalyear,"FY"&amp;fiscalyear-1+BudgetsTable[[#This Row],[budg_seq_yr]])</f>
        <v>FY19</v>
      </c>
      <c r="Z380" s="129">
        <v>97104</v>
      </c>
      <c r="AA380" s="128" t="s">
        <v>741</v>
      </c>
      <c r="AB380" s="128" t="s">
        <v>528</v>
      </c>
      <c r="AC380" s="126" t="s">
        <v>94</v>
      </c>
      <c r="AD380" s="128" t="s">
        <v>250</v>
      </c>
    </row>
    <row r="381" spans="1:30">
      <c r="A381" s="125" t="s">
        <v>1540</v>
      </c>
      <c r="B381" s="126" t="s">
        <v>96</v>
      </c>
      <c r="C381" s="126">
        <f>C380+(BudgetsTable[[#This Row],[lead]]&lt;&gt;K380)</f>
        <v>78</v>
      </c>
      <c r="D381" s="126">
        <f>D380*(BudgetsTable[[#This Row],[lead]]=K380)+(BudgetsTable[[#This Row],[prop_id]]&lt;&gt;A380)</f>
        <v>1</v>
      </c>
      <c r="E381" s="127">
        <v>42934.507638888892</v>
      </c>
      <c r="F381" s="128" t="s">
        <v>242</v>
      </c>
      <c r="G381" s="128" t="s">
        <v>741</v>
      </c>
      <c r="H381" s="128" t="s">
        <v>528</v>
      </c>
      <c r="I381" s="126" t="s">
        <v>1530</v>
      </c>
      <c r="J381" s="126" t="s">
        <v>13</v>
      </c>
      <c r="K381" s="128" t="s">
        <v>1540</v>
      </c>
      <c r="L381" s="7" t="str">
        <f>IF(BudgetsTable[[#This Row],[pi_last_name]]=" ","",HYPERLINK("https://www.ejacket.nsf.gov/ej/showProposal.do?Continue=Y&amp;ID="&amp;BudgetsTable[[#This Row],[prop_id]],BudgetsTable[[#This Row],[prop_id]]))</f>
        <v/>
      </c>
      <c r="M381" s="15" t="str">
        <f>IF(BudgetsTable[[#This Row],[pi_last_name]]=" ","",HYPERLINK("https://www.ejacket.nsf.gov/ej/processReviewAnalysis.do?dispatch=add&amp;uniqId="&amp;BudgetsTable[[#This Row],[prop_id]]&amp;PO_id,"&gt;ra"))</f>
        <v/>
      </c>
      <c r="N381" s="128" t="s">
        <v>13</v>
      </c>
      <c r="O381" s="7" t="str">
        <f>IF(BudgetsTable[[#This Row],[pi_last_name]]=" ","",HYPERLINK("mailto:"&amp;BudgetsTable[[#This Row],[pi_email]]&amp;"&amp;subject=Your NSF Proposal:  "&amp;BudgetsTable[[#This Row],[prop_id]],BudgetsTable[[#This Row],[pi_email]]))</f>
        <v/>
      </c>
      <c r="P381" s="128" t="s">
        <v>13</v>
      </c>
      <c r="Q381" s="128">
        <v>1</v>
      </c>
      <c r="R381" s="128">
        <v>1.35</v>
      </c>
      <c r="S381" s="129">
        <v>0</v>
      </c>
      <c r="T381" s="129">
        <v>0</v>
      </c>
      <c r="U381" s="129">
        <v>1500</v>
      </c>
      <c r="V381" s="130">
        <v>99911</v>
      </c>
      <c r="W381" s="128">
        <v>0</v>
      </c>
      <c r="X381" s="128">
        <v>3</v>
      </c>
      <c r="Y381" s="131" t="str">
        <f ca="1">IF(ISBLANK(BudgetsTable[[#This Row],[budg_seq_yr]]),"FY"&amp;fiscalyear,"FY"&amp;fiscalyear-1+BudgetsTable[[#This Row],[budg_seq_yr]])</f>
        <v>FY20</v>
      </c>
      <c r="Z381" s="129">
        <v>99911</v>
      </c>
      <c r="AA381" s="128" t="s">
        <v>741</v>
      </c>
      <c r="AB381" s="128" t="s">
        <v>528</v>
      </c>
      <c r="AC381" s="126" t="s">
        <v>94</v>
      </c>
      <c r="AD381" s="128" t="s">
        <v>250</v>
      </c>
    </row>
    <row r="382" spans="1:30">
      <c r="A382" s="125" t="s">
        <v>1540</v>
      </c>
      <c r="B382" s="126" t="s">
        <v>96</v>
      </c>
      <c r="C382" s="126">
        <f>C381+(BudgetsTable[[#This Row],[lead]]&lt;&gt;K381)</f>
        <v>78</v>
      </c>
      <c r="D382" s="126">
        <f>D381*(BudgetsTable[[#This Row],[lead]]=K381)+(BudgetsTable[[#This Row],[prop_id]]&lt;&gt;A381)</f>
        <v>1</v>
      </c>
      <c r="E382" s="127">
        <v>42934.507638888892</v>
      </c>
      <c r="F382" s="128" t="s">
        <v>242</v>
      </c>
      <c r="G382" s="128" t="s">
        <v>741</v>
      </c>
      <c r="H382" s="128" t="s">
        <v>528</v>
      </c>
      <c r="I382" s="126" t="s">
        <v>1530</v>
      </c>
      <c r="J382" s="126" t="s">
        <v>13</v>
      </c>
      <c r="K382" s="128" t="s">
        <v>1540</v>
      </c>
      <c r="L382" s="7" t="str">
        <f>IF(BudgetsTable[[#This Row],[pi_last_name]]=" ","",HYPERLINK("https://www.ejacket.nsf.gov/ej/showProposal.do?Continue=Y&amp;ID="&amp;BudgetsTable[[#This Row],[prop_id]],BudgetsTable[[#This Row],[prop_id]]))</f>
        <v/>
      </c>
      <c r="M382" s="15" t="str">
        <f>IF(BudgetsTable[[#This Row],[pi_last_name]]=" ","",HYPERLINK("https://www.ejacket.nsf.gov/ej/processReviewAnalysis.do?dispatch=add&amp;uniqId="&amp;BudgetsTable[[#This Row],[prop_id]]&amp;PO_id,"&gt;ra"))</f>
        <v/>
      </c>
      <c r="N382" s="128" t="s">
        <v>13</v>
      </c>
      <c r="O382" s="7" t="str">
        <f>IF(BudgetsTable[[#This Row],[pi_last_name]]=" ","",HYPERLINK("mailto:"&amp;BudgetsTable[[#This Row],[pi_email]]&amp;"&amp;subject=Your NSF Proposal:  "&amp;BudgetsTable[[#This Row],[prop_id]],BudgetsTable[[#This Row],[pi_email]]))</f>
        <v/>
      </c>
      <c r="P382" s="128" t="s">
        <v>13</v>
      </c>
      <c r="Q382" s="128">
        <v>1</v>
      </c>
      <c r="R382" s="128">
        <v>1.35</v>
      </c>
      <c r="S382" s="129">
        <v>0</v>
      </c>
      <c r="T382" s="129">
        <v>0</v>
      </c>
      <c r="U382" s="129">
        <v>1500</v>
      </c>
      <c r="V382" s="130">
        <v>102803</v>
      </c>
      <c r="W382" s="128">
        <v>0</v>
      </c>
      <c r="X382" s="128">
        <v>4</v>
      </c>
      <c r="Y382" s="131" t="str">
        <f ca="1">IF(ISBLANK(BudgetsTable[[#This Row],[budg_seq_yr]]),"FY"&amp;fiscalyear,"FY"&amp;fiscalyear-1+BudgetsTable[[#This Row],[budg_seq_yr]])</f>
        <v>FY21</v>
      </c>
      <c r="Z382" s="129">
        <v>102803</v>
      </c>
      <c r="AA382" s="128" t="s">
        <v>741</v>
      </c>
      <c r="AB382" s="128" t="s">
        <v>528</v>
      </c>
      <c r="AC382" s="126" t="s">
        <v>94</v>
      </c>
      <c r="AD382" s="128" t="s">
        <v>250</v>
      </c>
    </row>
    <row r="383" spans="1:30">
      <c r="A383" s="125" t="s">
        <v>1540</v>
      </c>
      <c r="B383" s="126" t="s">
        <v>96</v>
      </c>
      <c r="C383" s="126">
        <f>C382+(BudgetsTable[[#This Row],[lead]]&lt;&gt;K382)</f>
        <v>78</v>
      </c>
      <c r="D383" s="126">
        <f>D382*(BudgetsTable[[#This Row],[lead]]=K382)+(BudgetsTable[[#This Row],[prop_id]]&lt;&gt;A382)</f>
        <v>1</v>
      </c>
      <c r="E383" s="127">
        <v>42934.507638888892</v>
      </c>
      <c r="F383" s="128" t="s">
        <v>242</v>
      </c>
      <c r="G383" s="128" t="s">
        <v>741</v>
      </c>
      <c r="H383" s="128" t="s">
        <v>528</v>
      </c>
      <c r="I383" s="126" t="s">
        <v>1530</v>
      </c>
      <c r="J383" s="126" t="s">
        <v>13</v>
      </c>
      <c r="K383" s="128" t="s">
        <v>1540</v>
      </c>
      <c r="L383" s="7" t="str">
        <f>IF(BudgetsTable[[#This Row],[pi_last_name]]=" ","",HYPERLINK("https://www.ejacket.nsf.gov/ej/showProposal.do?Continue=Y&amp;ID="&amp;BudgetsTable[[#This Row],[prop_id]],BudgetsTable[[#This Row],[prop_id]]))</f>
        <v/>
      </c>
      <c r="M383" s="15" t="str">
        <f>IF(BudgetsTable[[#This Row],[pi_last_name]]=" ","",HYPERLINK("https://www.ejacket.nsf.gov/ej/processReviewAnalysis.do?dispatch=add&amp;uniqId="&amp;BudgetsTable[[#This Row],[prop_id]]&amp;PO_id,"&gt;ra"))</f>
        <v/>
      </c>
      <c r="N383" s="128" t="s">
        <v>13</v>
      </c>
      <c r="O383" s="7" t="str">
        <f>IF(BudgetsTable[[#This Row],[pi_last_name]]=" ","",HYPERLINK("mailto:"&amp;BudgetsTable[[#This Row],[pi_email]]&amp;"&amp;subject=Your NSF Proposal:  "&amp;BudgetsTable[[#This Row],[prop_id]],BudgetsTable[[#This Row],[pi_email]]))</f>
        <v/>
      </c>
      <c r="P383" s="128" t="s">
        <v>13</v>
      </c>
      <c r="Q383" s="128">
        <v>1</v>
      </c>
      <c r="R383" s="128">
        <v>1.35</v>
      </c>
      <c r="S383" s="129">
        <v>0</v>
      </c>
      <c r="T383" s="129">
        <v>0</v>
      </c>
      <c r="U383" s="129">
        <v>1500</v>
      </c>
      <c r="V383" s="130">
        <v>105794</v>
      </c>
      <c r="W383" s="128">
        <v>0</v>
      </c>
      <c r="X383" s="128">
        <v>5</v>
      </c>
      <c r="Y383" s="131" t="str">
        <f ca="1">IF(ISBLANK(BudgetsTable[[#This Row],[budg_seq_yr]]),"FY"&amp;fiscalyear,"FY"&amp;fiscalyear-1+BudgetsTable[[#This Row],[budg_seq_yr]])</f>
        <v>FY22</v>
      </c>
      <c r="Z383" s="129">
        <v>105794</v>
      </c>
      <c r="AA383" s="128" t="s">
        <v>741</v>
      </c>
      <c r="AB383" s="128" t="s">
        <v>528</v>
      </c>
      <c r="AC383" s="126" t="s">
        <v>94</v>
      </c>
      <c r="AD383" s="128" t="s">
        <v>250</v>
      </c>
    </row>
    <row r="384" spans="1:30">
      <c r="A384" s="125" t="s">
        <v>1547</v>
      </c>
      <c r="B384" s="126" t="s">
        <v>96</v>
      </c>
      <c r="C384" s="126">
        <f>C383+(BudgetsTable[[#This Row],[lead]]&lt;&gt;K383)</f>
        <v>79</v>
      </c>
      <c r="D384" s="126">
        <f>D383*(BudgetsTable[[#This Row],[lead]]=K383)+(BudgetsTable[[#This Row],[prop_id]]&lt;&gt;A383)</f>
        <v>1</v>
      </c>
      <c r="E384" s="127">
        <v>42934.524305555555</v>
      </c>
      <c r="F384" s="128" t="s">
        <v>242</v>
      </c>
      <c r="G384" s="128" t="s">
        <v>741</v>
      </c>
      <c r="H384" s="128" t="s">
        <v>528</v>
      </c>
      <c r="I384" s="126" t="s">
        <v>543</v>
      </c>
      <c r="J384" s="126" t="s">
        <v>2369</v>
      </c>
      <c r="K384" s="128" t="s">
        <v>1547</v>
      </c>
      <c r="L384" s="7" t="str">
        <f>IF(BudgetsTable[[#This Row],[pi_last_name]]=" ","",HYPERLINK("https://www.ejacket.nsf.gov/ej/showProposal.do?Continue=Y&amp;ID="&amp;BudgetsTable[[#This Row],[prop_id]],BudgetsTable[[#This Row],[prop_id]]))</f>
        <v>1749747</v>
      </c>
      <c r="M384" s="15" t="str">
        <f>IF(BudgetsTable[[#This Row],[pi_last_name]]=" ","",HYPERLINK("https://www.ejacket.nsf.gov/ej/processReviewAnalysis.do?dispatch=add&amp;uniqId="&amp;BudgetsTable[[#This Row],[prop_id]]&amp;PO_id,"&gt;ra"))</f>
        <v>&gt;ra</v>
      </c>
      <c r="N384" s="128" t="s">
        <v>1548</v>
      </c>
      <c r="O384" s="7" t="str">
        <f>IF(BudgetsTable[[#This Row],[pi_last_name]]=" ","",HYPERLINK("mailto:"&amp;BudgetsTable[[#This Row],[pi_email]]&amp;"&amp;subject=Your NSF Proposal:  "&amp;BudgetsTable[[#This Row],[prop_id]],BudgetsTable[[#This Row],[pi_email]]))</f>
        <v>omri@cs.columbia.edu</v>
      </c>
      <c r="P384" s="128" t="s">
        <v>2101</v>
      </c>
      <c r="Q384" s="128"/>
      <c r="R384" s="128"/>
      <c r="S384" s="129"/>
      <c r="T384" s="129"/>
      <c r="U384" s="129"/>
      <c r="V384" s="130"/>
      <c r="W384" s="128">
        <v>0</v>
      </c>
      <c r="X384" s="128"/>
      <c r="Y384" s="131" t="str">
        <f ca="1">IF(ISBLANK(BudgetsTable[[#This Row],[budg_seq_yr]]),"FY"&amp;fiscalyear,"FY"&amp;fiscalyear-1+BudgetsTable[[#This Row],[budg_seq_yr]])</f>
        <v>FY18</v>
      </c>
      <c r="Z384" s="129">
        <v>400000</v>
      </c>
      <c r="AA384" s="128" t="s">
        <v>741</v>
      </c>
      <c r="AB384" s="128" t="s">
        <v>528</v>
      </c>
      <c r="AC384" s="126" t="s">
        <v>94</v>
      </c>
      <c r="AD384" s="128" t="s">
        <v>2365</v>
      </c>
    </row>
    <row r="385" spans="1:30">
      <c r="A385" s="125" t="s">
        <v>1547</v>
      </c>
      <c r="B385" s="126" t="s">
        <v>96</v>
      </c>
      <c r="C385" s="126">
        <f>C384+(BudgetsTable[[#This Row],[lead]]&lt;&gt;K384)</f>
        <v>79</v>
      </c>
      <c r="D385" s="126">
        <f>D384*(BudgetsTable[[#This Row],[lead]]=K384)+(BudgetsTable[[#This Row],[prop_id]]&lt;&gt;A384)</f>
        <v>1</v>
      </c>
      <c r="E385" s="127">
        <v>42934.524305555555</v>
      </c>
      <c r="F385" s="128" t="s">
        <v>242</v>
      </c>
      <c r="G385" s="128" t="s">
        <v>741</v>
      </c>
      <c r="H385" s="128" t="s">
        <v>528</v>
      </c>
      <c r="I385" s="126" t="s">
        <v>543</v>
      </c>
      <c r="J385" s="126" t="s">
        <v>13</v>
      </c>
      <c r="K385" s="128" t="s">
        <v>1547</v>
      </c>
      <c r="L385" s="7" t="str">
        <f>IF(BudgetsTable[[#This Row],[pi_last_name]]=" ","",HYPERLINK("https://www.ejacket.nsf.gov/ej/showProposal.do?Continue=Y&amp;ID="&amp;BudgetsTable[[#This Row],[prop_id]],BudgetsTable[[#This Row],[prop_id]]))</f>
        <v/>
      </c>
      <c r="M385" s="15" t="str">
        <f>IF(BudgetsTable[[#This Row],[pi_last_name]]=" ","",HYPERLINK("https://www.ejacket.nsf.gov/ej/processReviewAnalysis.do?dispatch=add&amp;uniqId="&amp;BudgetsTable[[#This Row],[prop_id]]&amp;PO_id,"&gt;ra"))</f>
        <v/>
      </c>
      <c r="N385" s="128" t="s">
        <v>13</v>
      </c>
      <c r="O385" s="7" t="str">
        <f>IF(BudgetsTable[[#This Row],[pi_last_name]]=" ","",HYPERLINK("mailto:"&amp;BudgetsTable[[#This Row],[pi_email]]&amp;"&amp;subject=Your NSF Proposal:  "&amp;BudgetsTable[[#This Row],[prop_id]],BudgetsTable[[#This Row],[pi_email]]))</f>
        <v/>
      </c>
      <c r="P385" s="128" t="s">
        <v>13</v>
      </c>
      <c r="Q385" s="128">
        <v>1</v>
      </c>
      <c r="R385" s="128">
        <v>1</v>
      </c>
      <c r="S385" s="129">
        <v>0</v>
      </c>
      <c r="T385" s="129">
        <v>0</v>
      </c>
      <c r="U385" s="129">
        <v>0</v>
      </c>
      <c r="V385" s="130">
        <v>34924</v>
      </c>
      <c r="W385" s="128">
        <v>0</v>
      </c>
      <c r="X385" s="128">
        <v>1</v>
      </c>
      <c r="Y385" s="131" t="str">
        <f ca="1">IF(ISBLANK(BudgetsTable[[#This Row],[budg_seq_yr]]),"FY"&amp;fiscalyear,"FY"&amp;fiscalyear-1+BudgetsTable[[#This Row],[budg_seq_yr]])</f>
        <v>FY18</v>
      </c>
      <c r="Z385" s="129">
        <v>34924</v>
      </c>
      <c r="AA385" s="128" t="s">
        <v>741</v>
      </c>
      <c r="AB385" s="128" t="s">
        <v>528</v>
      </c>
      <c r="AC385" s="126" t="s">
        <v>94</v>
      </c>
      <c r="AD385" s="128" t="s">
        <v>2365</v>
      </c>
    </row>
    <row r="386" spans="1:30">
      <c r="A386" s="125" t="s">
        <v>1547</v>
      </c>
      <c r="B386" s="126" t="s">
        <v>96</v>
      </c>
      <c r="C386" s="126">
        <f>C385+(BudgetsTable[[#This Row],[lead]]&lt;&gt;K385)</f>
        <v>79</v>
      </c>
      <c r="D386" s="126">
        <f>D385*(BudgetsTable[[#This Row],[lead]]=K385)+(BudgetsTable[[#This Row],[prop_id]]&lt;&gt;A385)</f>
        <v>1</v>
      </c>
      <c r="E386" s="127">
        <v>42934.524305555555</v>
      </c>
      <c r="F386" s="128" t="s">
        <v>242</v>
      </c>
      <c r="G386" s="128" t="s">
        <v>741</v>
      </c>
      <c r="H386" s="128" t="s">
        <v>528</v>
      </c>
      <c r="I386" s="126" t="s">
        <v>543</v>
      </c>
      <c r="J386" s="126" t="s">
        <v>13</v>
      </c>
      <c r="K386" s="128" t="s">
        <v>1547</v>
      </c>
      <c r="L386" s="7" t="str">
        <f>IF(BudgetsTable[[#This Row],[pi_last_name]]=" ","",HYPERLINK("https://www.ejacket.nsf.gov/ej/showProposal.do?Continue=Y&amp;ID="&amp;BudgetsTable[[#This Row],[prop_id]],BudgetsTable[[#This Row],[prop_id]]))</f>
        <v/>
      </c>
      <c r="M386" s="15" t="str">
        <f>IF(BudgetsTable[[#This Row],[pi_last_name]]=" ","",HYPERLINK("https://www.ejacket.nsf.gov/ej/processReviewAnalysis.do?dispatch=add&amp;uniqId="&amp;BudgetsTable[[#This Row],[prop_id]]&amp;PO_id,"&gt;ra"))</f>
        <v/>
      </c>
      <c r="N386" s="128" t="s">
        <v>13</v>
      </c>
      <c r="O386" s="7" t="str">
        <f>IF(BudgetsTable[[#This Row],[pi_last_name]]=" ","",HYPERLINK("mailto:"&amp;BudgetsTable[[#This Row],[pi_email]]&amp;"&amp;subject=Your NSF Proposal:  "&amp;BudgetsTable[[#This Row],[prop_id]],BudgetsTable[[#This Row],[pi_email]]))</f>
        <v/>
      </c>
      <c r="P386" s="128" t="s">
        <v>13</v>
      </c>
      <c r="Q386" s="128">
        <v>1</v>
      </c>
      <c r="R386" s="128">
        <v>0</v>
      </c>
      <c r="S386" s="129">
        <v>0</v>
      </c>
      <c r="T386" s="129">
        <v>0</v>
      </c>
      <c r="U386" s="129">
        <v>0</v>
      </c>
      <c r="V386" s="130">
        <v>111068</v>
      </c>
      <c r="W386" s="128">
        <v>0</v>
      </c>
      <c r="X386" s="128">
        <v>2</v>
      </c>
      <c r="Y386" s="131" t="str">
        <f ca="1">IF(ISBLANK(BudgetsTable[[#This Row],[budg_seq_yr]]),"FY"&amp;fiscalyear,"FY"&amp;fiscalyear-1+BudgetsTable[[#This Row],[budg_seq_yr]])</f>
        <v>FY19</v>
      </c>
      <c r="Z386" s="129">
        <v>111068</v>
      </c>
      <c r="AA386" s="128" t="s">
        <v>741</v>
      </c>
      <c r="AB386" s="128" t="s">
        <v>528</v>
      </c>
      <c r="AC386" s="126" t="s">
        <v>94</v>
      </c>
      <c r="AD386" s="128" t="s">
        <v>2365</v>
      </c>
    </row>
    <row r="387" spans="1:30">
      <c r="A387" s="125" t="s">
        <v>1547</v>
      </c>
      <c r="B387" s="126" t="s">
        <v>96</v>
      </c>
      <c r="C387" s="126">
        <f>C386+(BudgetsTable[[#This Row],[lead]]&lt;&gt;K386)</f>
        <v>79</v>
      </c>
      <c r="D387" s="126">
        <f>D386*(BudgetsTable[[#This Row],[lead]]=K386)+(BudgetsTable[[#This Row],[prop_id]]&lt;&gt;A386)</f>
        <v>1</v>
      </c>
      <c r="E387" s="127">
        <v>42934.524305555555</v>
      </c>
      <c r="F387" s="128" t="s">
        <v>242</v>
      </c>
      <c r="G387" s="128" t="s">
        <v>741</v>
      </c>
      <c r="H387" s="128" t="s">
        <v>528</v>
      </c>
      <c r="I387" s="126" t="s">
        <v>543</v>
      </c>
      <c r="J387" s="126" t="s">
        <v>13</v>
      </c>
      <c r="K387" s="128" t="s">
        <v>1547</v>
      </c>
      <c r="L387" s="7" t="str">
        <f>IF(BudgetsTable[[#This Row],[pi_last_name]]=" ","",HYPERLINK("https://www.ejacket.nsf.gov/ej/showProposal.do?Continue=Y&amp;ID="&amp;BudgetsTable[[#This Row],[prop_id]],BudgetsTable[[#This Row],[prop_id]]))</f>
        <v/>
      </c>
      <c r="M387" s="15" t="str">
        <f>IF(BudgetsTable[[#This Row],[pi_last_name]]=" ","",HYPERLINK("https://www.ejacket.nsf.gov/ej/processReviewAnalysis.do?dispatch=add&amp;uniqId="&amp;BudgetsTable[[#This Row],[prop_id]]&amp;PO_id,"&gt;ra"))</f>
        <v/>
      </c>
      <c r="N387" s="128" t="s">
        <v>13</v>
      </c>
      <c r="O387" s="7" t="str">
        <f>IF(BudgetsTable[[#This Row],[pi_last_name]]=" ","",HYPERLINK("mailto:"&amp;BudgetsTable[[#This Row],[pi_email]]&amp;"&amp;subject=Your NSF Proposal:  "&amp;BudgetsTable[[#This Row],[prop_id]],BudgetsTable[[#This Row],[pi_email]]))</f>
        <v/>
      </c>
      <c r="P387" s="128" t="s">
        <v>13</v>
      </c>
      <c r="Q387" s="128">
        <v>1</v>
      </c>
      <c r="R387" s="128">
        <v>0</v>
      </c>
      <c r="S387" s="129">
        <v>0</v>
      </c>
      <c r="T387" s="129">
        <v>0</v>
      </c>
      <c r="U387" s="129">
        <v>0</v>
      </c>
      <c r="V387" s="130">
        <v>114521</v>
      </c>
      <c r="W387" s="128">
        <v>0</v>
      </c>
      <c r="X387" s="128">
        <v>3</v>
      </c>
      <c r="Y387" s="131" t="str">
        <f ca="1">IF(ISBLANK(BudgetsTable[[#This Row],[budg_seq_yr]]),"FY"&amp;fiscalyear,"FY"&amp;fiscalyear-1+BudgetsTable[[#This Row],[budg_seq_yr]])</f>
        <v>FY20</v>
      </c>
      <c r="Z387" s="129">
        <v>114521</v>
      </c>
      <c r="AA387" s="128" t="s">
        <v>741</v>
      </c>
      <c r="AB387" s="128" t="s">
        <v>528</v>
      </c>
      <c r="AC387" s="126" t="s">
        <v>94</v>
      </c>
      <c r="AD387" s="128" t="s">
        <v>2365</v>
      </c>
    </row>
    <row r="388" spans="1:30">
      <c r="A388" s="125" t="s">
        <v>1547</v>
      </c>
      <c r="B388" s="126" t="s">
        <v>96</v>
      </c>
      <c r="C388" s="126">
        <f>C387+(BudgetsTable[[#This Row],[lead]]&lt;&gt;K387)</f>
        <v>79</v>
      </c>
      <c r="D388" s="126">
        <f>D387*(BudgetsTable[[#This Row],[lead]]=K387)+(BudgetsTable[[#This Row],[prop_id]]&lt;&gt;A387)</f>
        <v>1</v>
      </c>
      <c r="E388" s="127">
        <v>42934.524305555555</v>
      </c>
      <c r="F388" s="128" t="s">
        <v>242</v>
      </c>
      <c r="G388" s="128" t="s">
        <v>741</v>
      </c>
      <c r="H388" s="128" t="s">
        <v>528</v>
      </c>
      <c r="I388" s="126" t="s">
        <v>543</v>
      </c>
      <c r="J388" s="126" t="s">
        <v>13</v>
      </c>
      <c r="K388" s="128" t="s">
        <v>1547</v>
      </c>
      <c r="L388" s="7" t="str">
        <f>IF(BudgetsTable[[#This Row],[pi_last_name]]=" ","",HYPERLINK("https://www.ejacket.nsf.gov/ej/showProposal.do?Continue=Y&amp;ID="&amp;BudgetsTable[[#This Row],[prop_id]],BudgetsTable[[#This Row],[prop_id]]))</f>
        <v/>
      </c>
      <c r="M388" s="15" t="str">
        <f>IF(BudgetsTable[[#This Row],[pi_last_name]]=" ","",HYPERLINK("https://www.ejacket.nsf.gov/ej/processReviewAnalysis.do?dispatch=add&amp;uniqId="&amp;BudgetsTable[[#This Row],[prop_id]]&amp;PO_id,"&gt;ra"))</f>
        <v/>
      </c>
      <c r="N388" s="128" t="s">
        <v>13</v>
      </c>
      <c r="O388" s="7" t="str">
        <f>IF(BudgetsTable[[#This Row],[pi_last_name]]=" ","",HYPERLINK("mailto:"&amp;BudgetsTable[[#This Row],[pi_email]]&amp;"&amp;subject=Your NSF Proposal:  "&amp;BudgetsTable[[#This Row],[prop_id]],BudgetsTable[[#This Row],[pi_email]]))</f>
        <v/>
      </c>
      <c r="P388" s="128" t="s">
        <v>13</v>
      </c>
      <c r="Q388" s="128">
        <v>1</v>
      </c>
      <c r="R388" s="128">
        <v>0</v>
      </c>
      <c r="S388" s="129">
        <v>0</v>
      </c>
      <c r="T388" s="129">
        <v>0</v>
      </c>
      <c r="U388" s="129">
        <v>0</v>
      </c>
      <c r="V388" s="130">
        <v>118710</v>
      </c>
      <c r="W388" s="128">
        <v>0</v>
      </c>
      <c r="X388" s="128">
        <v>4</v>
      </c>
      <c r="Y388" s="131" t="str">
        <f ca="1">IF(ISBLANK(BudgetsTable[[#This Row],[budg_seq_yr]]),"FY"&amp;fiscalyear,"FY"&amp;fiscalyear-1+BudgetsTable[[#This Row],[budg_seq_yr]])</f>
        <v>FY21</v>
      </c>
      <c r="Z388" s="129">
        <v>118710</v>
      </c>
      <c r="AA388" s="128" t="s">
        <v>741</v>
      </c>
      <c r="AB388" s="128" t="s">
        <v>528</v>
      </c>
      <c r="AC388" s="126" t="s">
        <v>94</v>
      </c>
      <c r="AD388" s="128" t="s">
        <v>2365</v>
      </c>
    </row>
    <row r="389" spans="1:30">
      <c r="A389" s="125" t="s">
        <v>1547</v>
      </c>
      <c r="B389" s="126" t="s">
        <v>96</v>
      </c>
      <c r="C389" s="126">
        <f>C388+(BudgetsTable[[#This Row],[lead]]&lt;&gt;K388)</f>
        <v>79</v>
      </c>
      <c r="D389" s="126">
        <f>D388*(BudgetsTable[[#This Row],[lead]]=K388)+(BudgetsTable[[#This Row],[prop_id]]&lt;&gt;A388)</f>
        <v>1</v>
      </c>
      <c r="E389" s="127">
        <v>42934.524305555555</v>
      </c>
      <c r="F389" s="128" t="s">
        <v>242</v>
      </c>
      <c r="G389" s="128" t="s">
        <v>741</v>
      </c>
      <c r="H389" s="128" t="s">
        <v>528</v>
      </c>
      <c r="I389" s="126" t="s">
        <v>543</v>
      </c>
      <c r="J389" s="126" t="s">
        <v>13</v>
      </c>
      <c r="K389" s="128" t="s">
        <v>1547</v>
      </c>
      <c r="L389" s="7" t="str">
        <f>IF(BudgetsTable[[#This Row],[pi_last_name]]=" ","",HYPERLINK("https://www.ejacket.nsf.gov/ej/showProposal.do?Continue=Y&amp;ID="&amp;BudgetsTable[[#This Row],[prop_id]],BudgetsTable[[#This Row],[prop_id]]))</f>
        <v/>
      </c>
      <c r="M389" s="15" t="str">
        <f>IF(BudgetsTable[[#This Row],[pi_last_name]]=" ","",HYPERLINK("https://www.ejacket.nsf.gov/ej/processReviewAnalysis.do?dispatch=add&amp;uniqId="&amp;BudgetsTable[[#This Row],[prop_id]]&amp;PO_id,"&gt;ra"))</f>
        <v/>
      </c>
      <c r="N389" s="128" t="s">
        <v>13</v>
      </c>
      <c r="O389" s="7" t="str">
        <f>IF(BudgetsTable[[#This Row],[pi_last_name]]=" ","",HYPERLINK("mailto:"&amp;BudgetsTable[[#This Row],[pi_email]]&amp;"&amp;subject=Your NSF Proposal:  "&amp;BudgetsTable[[#This Row],[prop_id]],BudgetsTable[[#This Row],[pi_email]]))</f>
        <v/>
      </c>
      <c r="P389" s="128" t="s">
        <v>13</v>
      </c>
      <c r="Q389" s="128">
        <v>1</v>
      </c>
      <c r="R389" s="128">
        <v>0</v>
      </c>
      <c r="S389" s="129">
        <v>0</v>
      </c>
      <c r="T389" s="129">
        <v>0</v>
      </c>
      <c r="U389" s="129">
        <v>0</v>
      </c>
      <c r="V389" s="130">
        <v>20777</v>
      </c>
      <c r="W389" s="128">
        <v>0</v>
      </c>
      <c r="X389" s="128">
        <v>5</v>
      </c>
      <c r="Y389" s="131" t="str">
        <f ca="1">IF(ISBLANK(BudgetsTable[[#This Row],[budg_seq_yr]]),"FY"&amp;fiscalyear,"FY"&amp;fiscalyear-1+BudgetsTable[[#This Row],[budg_seq_yr]])</f>
        <v>FY22</v>
      </c>
      <c r="Z389" s="129">
        <v>20777</v>
      </c>
      <c r="AA389" s="128" t="s">
        <v>741</v>
      </c>
      <c r="AB389" s="128" t="s">
        <v>528</v>
      </c>
      <c r="AC389" s="126" t="s">
        <v>94</v>
      </c>
      <c r="AD389" s="128" t="s">
        <v>2365</v>
      </c>
    </row>
    <row r="390" spans="1:30">
      <c r="A390" s="125" t="s">
        <v>603</v>
      </c>
      <c r="B390" s="126" t="s">
        <v>96</v>
      </c>
      <c r="C390" s="126">
        <f>C389+(BudgetsTable[[#This Row],[lead]]&lt;&gt;K389)</f>
        <v>80</v>
      </c>
      <c r="D390" s="126">
        <f>D389*(BudgetsTable[[#This Row],[lead]]=K389)+(BudgetsTable[[#This Row],[prop_id]]&lt;&gt;A389)</f>
        <v>1</v>
      </c>
      <c r="E390" s="127">
        <v>42934.524305555555</v>
      </c>
      <c r="F390" s="128" t="s">
        <v>242</v>
      </c>
      <c r="G390" s="128" t="s">
        <v>741</v>
      </c>
      <c r="H390" s="128" t="s">
        <v>528</v>
      </c>
      <c r="I390" s="126" t="s">
        <v>543</v>
      </c>
      <c r="J390" s="126" t="s">
        <v>768</v>
      </c>
      <c r="K390" s="128" t="s">
        <v>603</v>
      </c>
      <c r="L390" s="7" t="str">
        <f>IF(BudgetsTable[[#This Row],[pi_last_name]]=" ","",HYPERLINK("https://www.ejacket.nsf.gov/ej/showProposal.do?Continue=Y&amp;ID="&amp;BudgetsTable[[#This Row],[prop_id]],BudgetsTable[[#This Row],[prop_id]]))</f>
        <v>1749748</v>
      </c>
      <c r="M390" s="15" t="str">
        <f>IF(BudgetsTable[[#This Row],[pi_last_name]]=" ","",HYPERLINK("https://www.ejacket.nsf.gov/ej/processReviewAnalysis.do?dispatch=add&amp;uniqId="&amp;BudgetsTable[[#This Row],[prop_id]]&amp;PO_id,"&gt;ra"))</f>
        <v>&gt;ra</v>
      </c>
      <c r="N390" s="128" t="s">
        <v>604</v>
      </c>
      <c r="O390" s="7" t="str">
        <f>IF(BudgetsTable[[#This Row],[pi_last_name]]=" ","",HYPERLINK("mailto:"&amp;BudgetsTable[[#This Row],[pi_email]]&amp;"&amp;subject=Your NSF Proposal:  "&amp;BudgetsTable[[#This Row],[prop_id]],BudgetsTable[[#This Row],[pi_email]]))</f>
        <v>karthe@illinois.edu</v>
      </c>
      <c r="P390" s="128" t="s">
        <v>339</v>
      </c>
      <c r="Q390" s="128"/>
      <c r="R390" s="128"/>
      <c r="S390" s="129"/>
      <c r="T390" s="129"/>
      <c r="U390" s="129"/>
      <c r="V390" s="130"/>
      <c r="W390" s="128">
        <v>0</v>
      </c>
      <c r="X390" s="128"/>
      <c r="Y390" s="131" t="str">
        <f ca="1">IF(ISBLANK(BudgetsTable[[#This Row],[budg_seq_yr]]),"FY"&amp;fiscalyear,"FY"&amp;fiscalyear-1+BudgetsTable[[#This Row],[budg_seq_yr]])</f>
        <v>FY18</v>
      </c>
      <c r="Z390" s="129">
        <v>446040</v>
      </c>
      <c r="AA390" s="128" t="s">
        <v>741</v>
      </c>
      <c r="AB390" s="128" t="s">
        <v>528</v>
      </c>
      <c r="AC390" s="126" t="s">
        <v>94</v>
      </c>
      <c r="AD390" s="128" t="s">
        <v>744</v>
      </c>
    </row>
    <row r="391" spans="1:30">
      <c r="A391" s="125" t="s">
        <v>603</v>
      </c>
      <c r="B391" s="126" t="s">
        <v>96</v>
      </c>
      <c r="C391" s="126">
        <f>C390+(BudgetsTable[[#This Row],[lead]]&lt;&gt;K390)</f>
        <v>80</v>
      </c>
      <c r="D391" s="126">
        <f>D390*(BudgetsTable[[#This Row],[lead]]=K390)+(BudgetsTable[[#This Row],[prop_id]]&lt;&gt;A390)</f>
        <v>1</v>
      </c>
      <c r="E391" s="127">
        <v>42934.524305555555</v>
      </c>
      <c r="F391" s="128" t="s">
        <v>242</v>
      </c>
      <c r="G391" s="128" t="s">
        <v>741</v>
      </c>
      <c r="H391" s="128" t="s">
        <v>528</v>
      </c>
      <c r="I391" s="126" t="s">
        <v>543</v>
      </c>
      <c r="J391" s="126" t="s">
        <v>13</v>
      </c>
      <c r="K391" s="128" t="s">
        <v>603</v>
      </c>
      <c r="L391" s="7" t="str">
        <f>IF(BudgetsTable[[#This Row],[pi_last_name]]=" ","",HYPERLINK("https://www.ejacket.nsf.gov/ej/showProposal.do?Continue=Y&amp;ID="&amp;BudgetsTable[[#This Row],[prop_id]],BudgetsTable[[#This Row],[prop_id]]))</f>
        <v/>
      </c>
      <c r="M391" s="15" t="str">
        <f>IF(BudgetsTable[[#This Row],[pi_last_name]]=" ","",HYPERLINK("https://www.ejacket.nsf.gov/ej/processReviewAnalysis.do?dispatch=add&amp;uniqId="&amp;BudgetsTable[[#This Row],[prop_id]]&amp;PO_id,"&gt;ra"))</f>
        <v/>
      </c>
      <c r="N391" s="128" t="s">
        <v>13</v>
      </c>
      <c r="O391" s="7" t="str">
        <f>IF(BudgetsTable[[#This Row],[pi_last_name]]=" ","",HYPERLINK("mailto:"&amp;BudgetsTable[[#This Row],[pi_email]]&amp;"&amp;subject=Your NSF Proposal:  "&amp;BudgetsTable[[#This Row],[prop_id]],BudgetsTable[[#This Row],[pi_email]]))</f>
        <v/>
      </c>
      <c r="P391" s="128" t="s">
        <v>13</v>
      </c>
      <c r="Q391" s="128">
        <v>1</v>
      </c>
      <c r="R391" s="128">
        <v>1</v>
      </c>
      <c r="S391" s="129">
        <v>0</v>
      </c>
      <c r="T391" s="129">
        <v>4000</v>
      </c>
      <c r="U391" s="129">
        <v>0</v>
      </c>
      <c r="V391" s="130">
        <v>86236</v>
      </c>
      <c r="W391" s="128">
        <v>0</v>
      </c>
      <c r="X391" s="128">
        <v>1</v>
      </c>
      <c r="Y391" s="131" t="str">
        <f ca="1">IF(ISBLANK(BudgetsTable[[#This Row],[budg_seq_yr]]),"FY"&amp;fiscalyear,"FY"&amp;fiscalyear-1+BudgetsTable[[#This Row],[budg_seq_yr]])</f>
        <v>FY18</v>
      </c>
      <c r="Z391" s="129">
        <v>86236</v>
      </c>
      <c r="AA391" s="128" t="s">
        <v>741</v>
      </c>
      <c r="AB391" s="128" t="s">
        <v>528</v>
      </c>
      <c r="AC391" s="126" t="s">
        <v>94</v>
      </c>
      <c r="AD391" s="128" t="s">
        <v>744</v>
      </c>
    </row>
    <row r="392" spans="1:30">
      <c r="A392" s="125" t="s">
        <v>603</v>
      </c>
      <c r="B392" s="126" t="s">
        <v>96</v>
      </c>
      <c r="C392" s="126">
        <f>C391+(BudgetsTable[[#This Row],[lead]]&lt;&gt;K391)</f>
        <v>80</v>
      </c>
      <c r="D392" s="126">
        <f>D391*(BudgetsTable[[#This Row],[lead]]=K391)+(BudgetsTable[[#This Row],[prop_id]]&lt;&gt;A391)</f>
        <v>1</v>
      </c>
      <c r="E392" s="127">
        <v>42934.524305555555</v>
      </c>
      <c r="F392" s="128" t="s">
        <v>242</v>
      </c>
      <c r="G392" s="128" t="s">
        <v>741</v>
      </c>
      <c r="H392" s="128" t="s">
        <v>528</v>
      </c>
      <c r="I392" s="126" t="s">
        <v>543</v>
      </c>
      <c r="J392" s="126" t="s">
        <v>13</v>
      </c>
      <c r="K392" s="128" t="s">
        <v>603</v>
      </c>
      <c r="L392" s="7" t="str">
        <f>IF(BudgetsTable[[#This Row],[pi_last_name]]=" ","",HYPERLINK("https://www.ejacket.nsf.gov/ej/showProposal.do?Continue=Y&amp;ID="&amp;BudgetsTable[[#This Row],[prop_id]],BudgetsTable[[#This Row],[prop_id]]))</f>
        <v/>
      </c>
      <c r="M392" s="15" t="str">
        <f>IF(BudgetsTable[[#This Row],[pi_last_name]]=" ","",HYPERLINK("https://www.ejacket.nsf.gov/ej/processReviewAnalysis.do?dispatch=add&amp;uniqId="&amp;BudgetsTable[[#This Row],[prop_id]]&amp;PO_id,"&gt;ra"))</f>
        <v/>
      </c>
      <c r="N392" s="128" t="s">
        <v>13</v>
      </c>
      <c r="O392" s="7" t="str">
        <f>IF(BudgetsTable[[#This Row],[pi_last_name]]=" ","",HYPERLINK("mailto:"&amp;BudgetsTable[[#This Row],[pi_email]]&amp;"&amp;subject=Your NSF Proposal:  "&amp;BudgetsTable[[#This Row],[prop_id]],BudgetsTable[[#This Row],[pi_email]]))</f>
        <v/>
      </c>
      <c r="P392" s="128" t="s">
        <v>13</v>
      </c>
      <c r="Q392" s="128">
        <v>1</v>
      </c>
      <c r="R392" s="128">
        <v>1</v>
      </c>
      <c r="S392" s="129">
        <v>0</v>
      </c>
      <c r="T392" s="129">
        <v>4000</v>
      </c>
      <c r="U392" s="129">
        <v>0</v>
      </c>
      <c r="V392" s="130">
        <v>88371</v>
      </c>
      <c r="W392" s="128">
        <v>0</v>
      </c>
      <c r="X392" s="128">
        <v>2</v>
      </c>
      <c r="Y392" s="131" t="str">
        <f ca="1">IF(ISBLANK(BudgetsTable[[#This Row],[budg_seq_yr]]),"FY"&amp;fiscalyear,"FY"&amp;fiscalyear-1+BudgetsTable[[#This Row],[budg_seq_yr]])</f>
        <v>FY19</v>
      </c>
      <c r="Z392" s="129">
        <v>88371</v>
      </c>
      <c r="AA392" s="128" t="s">
        <v>741</v>
      </c>
      <c r="AB392" s="128" t="s">
        <v>528</v>
      </c>
      <c r="AC392" s="126" t="s">
        <v>94</v>
      </c>
      <c r="AD392" s="128" t="s">
        <v>744</v>
      </c>
    </row>
    <row r="393" spans="1:30">
      <c r="A393" s="125" t="s">
        <v>603</v>
      </c>
      <c r="B393" s="126" t="s">
        <v>96</v>
      </c>
      <c r="C393" s="126">
        <f>C392+(BudgetsTable[[#This Row],[lead]]&lt;&gt;K392)</f>
        <v>80</v>
      </c>
      <c r="D393" s="126">
        <f>D392*(BudgetsTable[[#This Row],[lead]]=K392)+(BudgetsTable[[#This Row],[prop_id]]&lt;&gt;A392)</f>
        <v>1</v>
      </c>
      <c r="E393" s="127">
        <v>42934.524305555555</v>
      </c>
      <c r="F393" s="128" t="s">
        <v>242</v>
      </c>
      <c r="G393" s="128" t="s">
        <v>741</v>
      </c>
      <c r="H393" s="128" t="s">
        <v>528</v>
      </c>
      <c r="I393" s="126" t="s">
        <v>543</v>
      </c>
      <c r="J393" s="126" t="s">
        <v>13</v>
      </c>
      <c r="K393" s="128" t="s">
        <v>603</v>
      </c>
      <c r="L393" s="7" t="str">
        <f>IF(BudgetsTable[[#This Row],[pi_last_name]]=" ","",HYPERLINK("https://www.ejacket.nsf.gov/ej/showProposal.do?Continue=Y&amp;ID="&amp;BudgetsTable[[#This Row],[prop_id]],BudgetsTable[[#This Row],[prop_id]]))</f>
        <v/>
      </c>
      <c r="M393" s="15" t="str">
        <f>IF(BudgetsTable[[#This Row],[pi_last_name]]=" ","",HYPERLINK("https://www.ejacket.nsf.gov/ej/processReviewAnalysis.do?dispatch=add&amp;uniqId="&amp;BudgetsTable[[#This Row],[prop_id]]&amp;PO_id,"&gt;ra"))</f>
        <v/>
      </c>
      <c r="N393" s="128" t="s">
        <v>13</v>
      </c>
      <c r="O393" s="7" t="str">
        <f>IF(BudgetsTable[[#This Row],[pi_last_name]]=" ","",HYPERLINK("mailto:"&amp;BudgetsTable[[#This Row],[pi_email]]&amp;"&amp;subject=Your NSF Proposal:  "&amp;BudgetsTable[[#This Row],[prop_id]],BudgetsTable[[#This Row],[pi_email]]))</f>
        <v/>
      </c>
      <c r="P393" s="128" t="s">
        <v>13</v>
      </c>
      <c r="Q393" s="128">
        <v>1</v>
      </c>
      <c r="R393" s="128">
        <v>1</v>
      </c>
      <c r="S393" s="129">
        <v>0</v>
      </c>
      <c r="T393" s="129">
        <v>4000</v>
      </c>
      <c r="U393" s="129">
        <v>0</v>
      </c>
      <c r="V393" s="130">
        <v>88191</v>
      </c>
      <c r="W393" s="128">
        <v>0</v>
      </c>
      <c r="X393" s="128">
        <v>3</v>
      </c>
      <c r="Y393" s="131" t="str">
        <f ca="1">IF(ISBLANK(BudgetsTable[[#This Row],[budg_seq_yr]]),"FY"&amp;fiscalyear,"FY"&amp;fiscalyear-1+BudgetsTable[[#This Row],[budg_seq_yr]])</f>
        <v>FY20</v>
      </c>
      <c r="Z393" s="129">
        <v>88191</v>
      </c>
      <c r="AA393" s="128" t="s">
        <v>741</v>
      </c>
      <c r="AB393" s="128" t="s">
        <v>528</v>
      </c>
      <c r="AC393" s="126" t="s">
        <v>94</v>
      </c>
      <c r="AD393" s="128" t="s">
        <v>744</v>
      </c>
    </row>
    <row r="394" spans="1:30">
      <c r="A394" s="125" t="s">
        <v>603</v>
      </c>
      <c r="B394" s="126" t="s">
        <v>96</v>
      </c>
      <c r="C394" s="126">
        <f>C393+(BudgetsTable[[#This Row],[lead]]&lt;&gt;K393)</f>
        <v>80</v>
      </c>
      <c r="D394" s="126">
        <f>D393*(BudgetsTable[[#This Row],[lead]]=K393)+(BudgetsTable[[#This Row],[prop_id]]&lt;&gt;A393)</f>
        <v>1</v>
      </c>
      <c r="E394" s="127">
        <v>42934.524305555555</v>
      </c>
      <c r="F394" s="128" t="s">
        <v>242</v>
      </c>
      <c r="G394" s="128" t="s">
        <v>741</v>
      </c>
      <c r="H394" s="128" t="s">
        <v>528</v>
      </c>
      <c r="I394" s="126" t="s">
        <v>543</v>
      </c>
      <c r="J394" s="126" t="s">
        <v>13</v>
      </c>
      <c r="K394" s="128" t="s">
        <v>603</v>
      </c>
      <c r="L394" s="7" t="str">
        <f>IF(BudgetsTable[[#This Row],[pi_last_name]]=" ","",HYPERLINK("https://www.ejacket.nsf.gov/ej/showProposal.do?Continue=Y&amp;ID="&amp;BudgetsTable[[#This Row],[prop_id]],BudgetsTable[[#This Row],[prop_id]]))</f>
        <v/>
      </c>
      <c r="M394" s="15" t="str">
        <f>IF(BudgetsTable[[#This Row],[pi_last_name]]=" ","",HYPERLINK("https://www.ejacket.nsf.gov/ej/processReviewAnalysis.do?dispatch=add&amp;uniqId="&amp;BudgetsTable[[#This Row],[prop_id]]&amp;PO_id,"&gt;ra"))</f>
        <v/>
      </c>
      <c r="N394" s="128" t="s">
        <v>13</v>
      </c>
      <c r="O394" s="7" t="str">
        <f>IF(BudgetsTable[[#This Row],[pi_last_name]]=" ","",HYPERLINK("mailto:"&amp;BudgetsTable[[#This Row],[pi_email]]&amp;"&amp;subject=Your NSF Proposal:  "&amp;BudgetsTable[[#This Row],[prop_id]],BudgetsTable[[#This Row],[pi_email]]))</f>
        <v/>
      </c>
      <c r="P394" s="128" t="s">
        <v>13</v>
      </c>
      <c r="Q394" s="128">
        <v>1</v>
      </c>
      <c r="R394" s="128">
        <v>1</v>
      </c>
      <c r="S394" s="129">
        <v>0</v>
      </c>
      <c r="T394" s="129">
        <v>4000</v>
      </c>
      <c r="U394" s="129">
        <v>0</v>
      </c>
      <c r="V394" s="130">
        <v>90454</v>
      </c>
      <c r="W394" s="128">
        <v>0</v>
      </c>
      <c r="X394" s="128">
        <v>4</v>
      </c>
      <c r="Y394" s="131" t="str">
        <f ca="1">IF(ISBLANK(BudgetsTable[[#This Row],[budg_seq_yr]]),"FY"&amp;fiscalyear,"FY"&amp;fiscalyear-1+BudgetsTable[[#This Row],[budg_seq_yr]])</f>
        <v>FY21</v>
      </c>
      <c r="Z394" s="129">
        <v>90454</v>
      </c>
      <c r="AA394" s="128" t="s">
        <v>741</v>
      </c>
      <c r="AB394" s="128" t="s">
        <v>528</v>
      </c>
      <c r="AC394" s="126" t="s">
        <v>94</v>
      </c>
      <c r="AD394" s="128" t="s">
        <v>744</v>
      </c>
    </row>
    <row r="395" spans="1:30">
      <c r="A395" s="125" t="s">
        <v>603</v>
      </c>
      <c r="B395" s="126" t="s">
        <v>96</v>
      </c>
      <c r="C395" s="126">
        <f>C394+(BudgetsTable[[#This Row],[lead]]&lt;&gt;K394)</f>
        <v>80</v>
      </c>
      <c r="D395" s="126">
        <f>D394*(BudgetsTable[[#This Row],[lead]]=K394)+(BudgetsTable[[#This Row],[prop_id]]&lt;&gt;A394)</f>
        <v>1</v>
      </c>
      <c r="E395" s="127">
        <v>42934.524305555555</v>
      </c>
      <c r="F395" s="128" t="s">
        <v>242</v>
      </c>
      <c r="G395" s="128" t="s">
        <v>741</v>
      </c>
      <c r="H395" s="128" t="s">
        <v>528</v>
      </c>
      <c r="I395" s="126" t="s">
        <v>543</v>
      </c>
      <c r="J395" s="126" t="s">
        <v>13</v>
      </c>
      <c r="K395" s="128" t="s">
        <v>603</v>
      </c>
      <c r="L395" s="7" t="str">
        <f>IF(BudgetsTable[[#This Row],[pi_last_name]]=" ","",HYPERLINK("https://www.ejacket.nsf.gov/ej/showProposal.do?Continue=Y&amp;ID="&amp;BudgetsTable[[#This Row],[prop_id]],BudgetsTable[[#This Row],[prop_id]]))</f>
        <v/>
      </c>
      <c r="M395" s="15" t="str">
        <f>IF(BudgetsTable[[#This Row],[pi_last_name]]=" ","",HYPERLINK("https://www.ejacket.nsf.gov/ej/processReviewAnalysis.do?dispatch=add&amp;uniqId="&amp;BudgetsTable[[#This Row],[prop_id]]&amp;PO_id,"&gt;ra"))</f>
        <v/>
      </c>
      <c r="N395" s="128" t="s">
        <v>13</v>
      </c>
      <c r="O395" s="7" t="str">
        <f>IF(BudgetsTable[[#This Row],[pi_last_name]]=" ","",HYPERLINK("mailto:"&amp;BudgetsTable[[#This Row],[pi_email]]&amp;"&amp;subject=Your NSF Proposal:  "&amp;BudgetsTable[[#This Row],[prop_id]],BudgetsTable[[#This Row],[pi_email]]))</f>
        <v/>
      </c>
      <c r="P395" s="128" t="s">
        <v>13</v>
      </c>
      <c r="Q395" s="128">
        <v>1</v>
      </c>
      <c r="R395" s="128">
        <v>1</v>
      </c>
      <c r="S395" s="129">
        <v>0</v>
      </c>
      <c r="T395" s="129">
        <v>4000</v>
      </c>
      <c r="U395" s="129">
        <v>0</v>
      </c>
      <c r="V395" s="130">
        <v>92788</v>
      </c>
      <c r="W395" s="128">
        <v>0</v>
      </c>
      <c r="X395" s="128">
        <v>5</v>
      </c>
      <c r="Y395" s="131" t="str">
        <f ca="1">IF(ISBLANK(BudgetsTable[[#This Row],[budg_seq_yr]]),"FY"&amp;fiscalyear,"FY"&amp;fiscalyear-1+BudgetsTable[[#This Row],[budg_seq_yr]])</f>
        <v>FY22</v>
      </c>
      <c r="Z395" s="129">
        <v>92788</v>
      </c>
      <c r="AA395" s="128" t="s">
        <v>741</v>
      </c>
      <c r="AB395" s="128" t="s">
        <v>528</v>
      </c>
      <c r="AC395" s="126" t="s">
        <v>94</v>
      </c>
      <c r="AD395" s="128" t="s">
        <v>744</v>
      </c>
    </row>
    <row r="396" spans="1:30">
      <c r="A396" s="125" t="s">
        <v>617</v>
      </c>
      <c r="B396" s="126" t="s">
        <v>96</v>
      </c>
      <c r="C396" s="126">
        <f>C395+(BudgetsTable[[#This Row],[lead]]&lt;&gt;K395)</f>
        <v>81</v>
      </c>
      <c r="D396" s="126">
        <f>D395*(BudgetsTable[[#This Row],[lead]]=K395)+(BudgetsTable[[#This Row],[prop_id]]&lt;&gt;A395)</f>
        <v>1</v>
      </c>
      <c r="E396" s="127">
        <v>42934.625694444447</v>
      </c>
      <c r="F396" s="128" t="s">
        <v>242</v>
      </c>
      <c r="G396" s="128" t="s">
        <v>741</v>
      </c>
      <c r="H396" s="128" t="s">
        <v>528</v>
      </c>
      <c r="I396" s="126" t="s">
        <v>540</v>
      </c>
      <c r="J396" s="126" t="s">
        <v>773</v>
      </c>
      <c r="K396" s="128" t="s">
        <v>617</v>
      </c>
      <c r="L396" s="7" t="str">
        <f>IF(BudgetsTable[[#This Row],[pi_last_name]]=" ","",HYPERLINK("https://www.ejacket.nsf.gov/ej/showProposal.do?Continue=Y&amp;ID="&amp;BudgetsTable[[#This Row],[prop_id]],BudgetsTable[[#This Row],[prop_id]]))</f>
        <v>1749855</v>
      </c>
      <c r="M396" s="15" t="str">
        <f>IF(BudgetsTable[[#This Row],[pi_last_name]]=" ","",HYPERLINK("https://www.ejacket.nsf.gov/ej/processReviewAnalysis.do?dispatch=add&amp;uniqId="&amp;BudgetsTable[[#This Row],[prop_id]]&amp;PO_id,"&gt;ra"))</f>
        <v>&gt;ra</v>
      </c>
      <c r="N396" s="128" t="s">
        <v>618</v>
      </c>
      <c r="O396" s="7" t="str">
        <f>IF(BudgetsTable[[#This Row],[pi_last_name]]=" ","",HYPERLINK("mailto:"&amp;BudgetsTable[[#This Row],[pi_email]]&amp;"&amp;subject=Your NSF Proposal:  "&amp;BudgetsTable[[#This Row],[prop_id]],BudgetsTable[[#This Row],[pi_email]]))</f>
        <v>francesco@cs.stonybrook.edu</v>
      </c>
      <c r="P396" s="128" t="s">
        <v>770</v>
      </c>
      <c r="Q396" s="128"/>
      <c r="R396" s="128"/>
      <c r="S396" s="129"/>
      <c r="T396" s="129"/>
      <c r="U396" s="129"/>
      <c r="V396" s="130"/>
      <c r="W396" s="128">
        <v>0</v>
      </c>
      <c r="X396" s="128"/>
      <c r="Y396" s="131" t="str">
        <f ca="1">IF(ISBLANK(BudgetsTable[[#This Row],[budg_seq_yr]]),"FY"&amp;fiscalyear,"FY"&amp;fiscalyear-1+BudgetsTable[[#This Row],[budg_seq_yr]])</f>
        <v>FY18</v>
      </c>
      <c r="Z396" s="129">
        <v>516750</v>
      </c>
      <c r="AA396" s="128" t="s">
        <v>741</v>
      </c>
      <c r="AB396" s="128" t="s">
        <v>528</v>
      </c>
      <c r="AC396" s="126" t="s">
        <v>94</v>
      </c>
      <c r="AD396" s="128" t="s">
        <v>744</v>
      </c>
    </row>
    <row r="397" spans="1:30">
      <c r="A397" s="125" t="s">
        <v>617</v>
      </c>
      <c r="B397" s="126" t="s">
        <v>96</v>
      </c>
      <c r="C397" s="126">
        <f>C396+(BudgetsTable[[#This Row],[lead]]&lt;&gt;K396)</f>
        <v>81</v>
      </c>
      <c r="D397" s="126">
        <f>D396*(BudgetsTable[[#This Row],[lead]]=K396)+(BudgetsTable[[#This Row],[prop_id]]&lt;&gt;A396)</f>
        <v>1</v>
      </c>
      <c r="E397" s="127">
        <v>42934.625694444447</v>
      </c>
      <c r="F397" s="128" t="s">
        <v>242</v>
      </c>
      <c r="G397" s="128" t="s">
        <v>741</v>
      </c>
      <c r="H397" s="128" t="s">
        <v>528</v>
      </c>
      <c r="I397" s="126" t="s">
        <v>540</v>
      </c>
      <c r="J397" s="126" t="s">
        <v>13</v>
      </c>
      <c r="K397" s="128" t="s">
        <v>617</v>
      </c>
      <c r="L397" s="7" t="str">
        <f>IF(BudgetsTable[[#This Row],[pi_last_name]]=" ","",HYPERLINK("https://www.ejacket.nsf.gov/ej/showProposal.do?Continue=Y&amp;ID="&amp;BudgetsTable[[#This Row],[prop_id]],BudgetsTable[[#This Row],[prop_id]]))</f>
        <v/>
      </c>
      <c r="M397" s="15" t="str">
        <f>IF(BudgetsTable[[#This Row],[pi_last_name]]=" ","",HYPERLINK("https://www.ejacket.nsf.gov/ej/processReviewAnalysis.do?dispatch=add&amp;uniqId="&amp;BudgetsTable[[#This Row],[prop_id]]&amp;PO_id,"&gt;ra"))</f>
        <v/>
      </c>
      <c r="N397" s="128" t="s">
        <v>13</v>
      </c>
      <c r="O397" s="7" t="str">
        <f>IF(BudgetsTable[[#This Row],[pi_last_name]]=" ","",HYPERLINK("mailto:"&amp;BudgetsTable[[#This Row],[pi_email]]&amp;"&amp;subject=Your NSF Proposal:  "&amp;BudgetsTable[[#This Row],[prop_id]],BudgetsTable[[#This Row],[pi_email]]))</f>
        <v/>
      </c>
      <c r="P397" s="128" t="s">
        <v>13</v>
      </c>
      <c r="Q397" s="128">
        <v>1</v>
      </c>
      <c r="R397" s="128">
        <v>1</v>
      </c>
      <c r="S397" s="129">
        <v>0</v>
      </c>
      <c r="T397" s="129">
        <v>2000</v>
      </c>
      <c r="U397" s="129">
        <v>0</v>
      </c>
      <c r="V397" s="130">
        <v>93299</v>
      </c>
      <c r="W397" s="128">
        <v>0</v>
      </c>
      <c r="X397" s="128">
        <v>1</v>
      </c>
      <c r="Y397" s="131" t="str">
        <f ca="1">IF(ISBLANK(BudgetsTable[[#This Row],[budg_seq_yr]]),"FY"&amp;fiscalyear,"FY"&amp;fiscalyear-1+BudgetsTable[[#This Row],[budg_seq_yr]])</f>
        <v>FY18</v>
      </c>
      <c r="Z397" s="129">
        <v>93299</v>
      </c>
      <c r="AA397" s="128" t="s">
        <v>741</v>
      </c>
      <c r="AB397" s="128" t="s">
        <v>528</v>
      </c>
      <c r="AC397" s="126" t="s">
        <v>94</v>
      </c>
      <c r="AD397" s="128" t="s">
        <v>744</v>
      </c>
    </row>
    <row r="398" spans="1:30">
      <c r="A398" s="125" t="s">
        <v>617</v>
      </c>
      <c r="B398" s="126" t="s">
        <v>96</v>
      </c>
      <c r="C398" s="126">
        <f>C397+(BudgetsTable[[#This Row],[lead]]&lt;&gt;K397)</f>
        <v>81</v>
      </c>
      <c r="D398" s="126">
        <f>D397*(BudgetsTable[[#This Row],[lead]]=K397)+(BudgetsTable[[#This Row],[prop_id]]&lt;&gt;A397)</f>
        <v>1</v>
      </c>
      <c r="E398" s="127">
        <v>42934.625694444447</v>
      </c>
      <c r="F398" s="128" t="s">
        <v>242</v>
      </c>
      <c r="G398" s="128" t="s">
        <v>741</v>
      </c>
      <c r="H398" s="128" t="s">
        <v>528</v>
      </c>
      <c r="I398" s="126" t="s">
        <v>540</v>
      </c>
      <c r="J398" s="126" t="s">
        <v>13</v>
      </c>
      <c r="K398" s="128" t="s">
        <v>617</v>
      </c>
      <c r="L398" s="7" t="str">
        <f>IF(BudgetsTable[[#This Row],[pi_last_name]]=" ","",HYPERLINK("https://www.ejacket.nsf.gov/ej/showProposal.do?Continue=Y&amp;ID="&amp;BudgetsTable[[#This Row],[prop_id]],BudgetsTable[[#This Row],[prop_id]]))</f>
        <v/>
      </c>
      <c r="M398" s="15" t="str">
        <f>IF(BudgetsTable[[#This Row],[pi_last_name]]=" ","",HYPERLINK("https://www.ejacket.nsf.gov/ej/processReviewAnalysis.do?dispatch=add&amp;uniqId="&amp;BudgetsTable[[#This Row],[prop_id]]&amp;PO_id,"&gt;ra"))</f>
        <v/>
      </c>
      <c r="N398" s="128" t="s">
        <v>13</v>
      </c>
      <c r="O398" s="7" t="str">
        <f>IF(BudgetsTable[[#This Row],[pi_last_name]]=" ","",HYPERLINK("mailto:"&amp;BudgetsTable[[#This Row],[pi_email]]&amp;"&amp;subject=Your NSF Proposal:  "&amp;BudgetsTable[[#This Row],[prop_id]],BudgetsTable[[#This Row],[pi_email]]))</f>
        <v/>
      </c>
      <c r="P398" s="128" t="s">
        <v>13</v>
      </c>
      <c r="Q398" s="128">
        <v>1</v>
      </c>
      <c r="R398" s="128">
        <v>1</v>
      </c>
      <c r="S398" s="129">
        <v>0</v>
      </c>
      <c r="T398" s="129">
        <v>2000</v>
      </c>
      <c r="U398" s="129">
        <v>0</v>
      </c>
      <c r="V398" s="130">
        <v>101945</v>
      </c>
      <c r="W398" s="128">
        <v>0</v>
      </c>
      <c r="X398" s="128">
        <v>2</v>
      </c>
      <c r="Y398" s="131" t="str">
        <f ca="1">IF(ISBLANK(BudgetsTable[[#This Row],[budg_seq_yr]]),"FY"&amp;fiscalyear,"FY"&amp;fiscalyear-1+BudgetsTable[[#This Row],[budg_seq_yr]])</f>
        <v>FY19</v>
      </c>
      <c r="Z398" s="129">
        <v>101945</v>
      </c>
      <c r="AA398" s="128" t="s">
        <v>741</v>
      </c>
      <c r="AB398" s="128" t="s">
        <v>528</v>
      </c>
      <c r="AC398" s="126" t="s">
        <v>94</v>
      </c>
      <c r="AD398" s="128" t="s">
        <v>744</v>
      </c>
    </row>
    <row r="399" spans="1:30">
      <c r="A399" s="125" t="s">
        <v>617</v>
      </c>
      <c r="B399" s="126" t="s">
        <v>96</v>
      </c>
      <c r="C399" s="126">
        <f>C398+(BudgetsTable[[#This Row],[lead]]&lt;&gt;K398)</f>
        <v>81</v>
      </c>
      <c r="D399" s="126">
        <f>D398*(BudgetsTable[[#This Row],[lead]]=K398)+(BudgetsTable[[#This Row],[prop_id]]&lt;&gt;A398)</f>
        <v>1</v>
      </c>
      <c r="E399" s="127">
        <v>42934.625694444447</v>
      </c>
      <c r="F399" s="128" t="s">
        <v>242</v>
      </c>
      <c r="G399" s="128" t="s">
        <v>741</v>
      </c>
      <c r="H399" s="128" t="s">
        <v>528</v>
      </c>
      <c r="I399" s="126" t="s">
        <v>540</v>
      </c>
      <c r="J399" s="126" t="s">
        <v>13</v>
      </c>
      <c r="K399" s="128" t="s">
        <v>617</v>
      </c>
      <c r="L399" s="7" t="str">
        <f>IF(BudgetsTable[[#This Row],[pi_last_name]]=" ","",HYPERLINK("https://www.ejacket.nsf.gov/ej/showProposal.do?Continue=Y&amp;ID="&amp;BudgetsTable[[#This Row],[prop_id]],BudgetsTable[[#This Row],[prop_id]]))</f>
        <v/>
      </c>
      <c r="M399" s="15" t="str">
        <f>IF(BudgetsTable[[#This Row],[pi_last_name]]=" ","",HYPERLINK("https://www.ejacket.nsf.gov/ej/processReviewAnalysis.do?dispatch=add&amp;uniqId="&amp;BudgetsTable[[#This Row],[prop_id]]&amp;PO_id,"&gt;ra"))</f>
        <v/>
      </c>
      <c r="N399" s="128" t="s">
        <v>13</v>
      </c>
      <c r="O399" s="7" t="str">
        <f>IF(BudgetsTable[[#This Row],[pi_last_name]]=" ","",HYPERLINK("mailto:"&amp;BudgetsTable[[#This Row],[pi_email]]&amp;"&amp;subject=Your NSF Proposal:  "&amp;BudgetsTable[[#This Row],[prop_id]],BudgetsTable[[#This Row],[pi_email]]))</f>
        <v/>
      </c>
      <c r="P399" s="128" t="s">
        <v>13</v>
      </c>
      <c r="Q399" s="128">
        <v>1</v>
      </c>
      <c r="R399" s="128">
        <v>1</v>
      </c>
      <c r="S399" s="129">
        <v>0</v>
      </c>
      <c r="T399" s="129">
        <v>2000</v>
      </c>
      <c r="U399" s="129">
        <v>0</v>
      </c>
      <c r="V399" s="130">
        <v>104505</v>
      </c>
      <c r="W399" s="128">
        <v>0</v>
      </c>
      <c r="X399" s="128">
        <v>3</v>
      </c>
      <c r="Y399" s="131" t="str">
        <f ca="1">IF(ISBLANK(BudgetsTable[[#This Row],[budg_seq_yr]]),"FY"&amp;fiscalyear,"FY"&amp;fiscalyear-1+BudgetsTable[[#This Row],[budg_seq_yr]])</f>
        <v>FY20</v>
      </c>
      <c r="Z399" s="129">
        <v>104505</v>
      </c>
      <c r="AA399" s="128" t="s">
        <v>741</v>
      </c>
      <c r="AB399" s="128" t="s">
        <v>528</v>
      </c>
      <c r="AC399" s="126" t="s">
        <v>94</v>
      </c>
      <c r="AD399" s="128" t="s">
        <v>744</v>
      </c>
    </row>
    <row r="400" spans="1:30">
      <c r="A400" s="125" t="s">
        <v>617</v>
      </c>
      <c r="B400" s="126" t="s">
        <v>96</v>
      </c>
      <c r="C400" s="126">
        <f>C399+(BudgetsTable[[#This Row],[lead]]&lt;&gt;K399)</f>
        <v>81</v>
      </c>
      <c r="D400" s="126">
        <f>D399*(BudgetsTable[[#This Row],[lead]]=K399)+(BudgetsTable[[#This Row],[prop_id]]&lt;&gt;A399)</f>
        <v>1</v>
      </c>
      <c r="E400" s="127">
        <v>42934.625694444447</v>
      </c>
      <c r="F400" s="128" t="s">
        <v>242</v>
      </c>
      <c r="G400" s="128" t="s">
        <v>741</v>
      </c>
      <c r="H400" s="128" t="s">
        <v>528</v>
      </c>
      <c r="I400" s="126" t="s">
        <v>540</v>
      </c>
      <c r="J400" s="126" t="s">
        <v>13</v>
      </c>
      <c r="K400" s="128" t="s">
        <v>617</v>
      </c>
      <c r="L400" s="7" t="str">
        <f>IF(BudgetsTable[[#This Row],[pi_last_name]]=" ","",HYPERLINK("https://www.ejacket.nsf.gov/ej/showProposal.do?Continue=Y&amp;ID="&amp;BudgetsTable[[#This Row],[prop_id]],BudgetsTable[[#This Row],[prop_id]]))</f>
        <v/>
      </c>
      <c r="M400" s="15" t="str">
        <f>IF(BudgetsTable[[#This Row],[pi_last_name]]=" ","",HYPERLINK("https://www.ejacket.nsf.gov/ej/processReviewAnalysis.do?dispatch=add&amp;uniqId="&amp;BudgetsTable[[#This Row],[prop_id]]&amp;PO_id,"&gt;ra"))</f>
        <v/>
      </c>
      <c r="N400" s="128" t="s">
        <v>13</v>
      </c>
      <c r="O400" s="7" t="str">
        <f>IF(BudgetsTable[[#This Row],[pi_last_name]]=" ","",HYPERLINK("mailto:"&amp;BudgetsTable[[#This Row],[pi_email]]&amp;"&amp;subject=Your NSF Proposal:  "&amp;BudgetsTable[[#This Row],[prop_id]],BudgetsTable[[#This Row],[pi_email]]))</f>
        <v/>
      </c>
      <c r="P400" s="128" t="s">
        <v>13</v>
      </c>
      <c r="Q400" s="128">
        <v>1</v>
      </c>
      <c r="R400" s="128">
        <v>1</v>
      </c>
      <c r="S400" s="129">
        <v>0</v>
      </c>
      <c r="T400" s="129">
        <v>2000</v>
      </c>
      <c r="U400" s="129">
        <v>0</v>
      </c>
      <c r="V400" s="130">
        <v>107143</v>
      </c>
      <c r="W400" s="128">
        <v>0</v>
      </c>
      <c r="X400" s="128">
        <v>4</v>
      </c>
      <c r="Y400" s="131" t="str">
        <f ca="1">IF(ISBLANK(BudgetsTable[[#This Row],[budg_seq_yr]]),"FY"&amp;fiscalyear,"FY"&amp;fiscalyear-1+BudgetsTable[[#This Row],[budg_seq_yr]])</f>
        <v>FY21</v>
      </c>
      <c r="Z400" s="129">
        <v>107143</v>
      </c>
      <c r="AA400" s="128" t="s">
        <v>741</v>
      </c>
      <c r="AB400" s="128" t="s">
        <v>528</v>
      </c>
      <c r="AC400" s="126" t="s">
        <v>94</v>
      </c>
      <c r="AD400" s="128" t="s">
        <v>744</v>
      </c>
    </row>
    <row r="401" spans="1:30">
      <c r="A401" s="125" t="s">
        <v>617</v>
      </c>
      <c r="B401" s="126" t="s">
        <v>96</v>
      </c>
      <c r="C401" s="126">
        <f>C400+(BudgetsTable[[#This Row],[lead]]&lt;&gt;K400)</f>
        <v>81</v>
      </c>
      <c r="D401" s="126">
        <f>D400*(BudgetsTable[[#This Row],[lead]]=K400)+(BudgetsTable[[#This Row],[prop_id]]&lt;&gt;A400)</f>
        <v>1</v>
      </c>
      <c r="E401" s="127">
        <v>42934.625694444447</v>
      </c>
      <c r="F401" s="128" t="s">
        <v>242</v>
      </c>
      <c r="G401" s="128" t="s">
        <v>741</v>
      </c>
      <c r="H401" s="128" t="s">
        <v>528</v>
      </c>
      <c r="I401" s="126" t="s">
        <v>540</v>
      </c>
      <c r="J401" s="126" t="s">
        <v>13</v>
      </c>
      <c r="K401" s="128" t="s">
        <v>617</v>
      </c>
      <c r="L401" s="7" t="str">
        <f>IF(BudgetsTable[[#This Row],[pi_last_name]]=" ","",HYPERLINK("https://www.ejacket.nsf.gov/ej/showProposal.do?Continue=Y&amp;ID="&amp;BudgetsTable[[#This Row],[prop_id]],BudgetsTable[[#This Row],[prop_id]]))</f>
        <v/>
      </c>
      <c r="M401" s="15" t="str">
        <f>IF(BudgetsTable[[#This Row],[pi_last_name]]=" ","",HYPERLINK("https://www.ejacket.nsf.gov/ej/processReviewAnalysis.do?dispatch=add&amp;uniqId="&amp;BudgetsTable[[#This Row],[prop_id]]&amp;PO_id,"&gt;ra"))</f>
        <v/>
      </c>
      <c r="N401" s="128" t="s">
        <v>13</v>
      </c>
      <c r="O401" s="7" t="str">
        <f>IF(BudgetsTable[[#This Row],[pi_last_name]]=" ","",HYPERLINK("mailto:"&amp;BudgetsTable[[#This Row],[pi_email]]&amp;"&amp;subject=Your NSF Proposal:  "&amp;BudgetsTable[[#This Row],[prop_id]],BudgetsTable[[#This Row],[pi_email]]))</f>
        <v/>
      </c>
      <c r="P401" s="128" t="s">
        <v>13</v>
      </c>
      <c r="Q401" s="128">
        <v>1</v>
      </c>
      <c r="R401" s="128">
        <v>1</v>
      </c>
      <c r="S401" s="129">
        <v>0</v>
      </c>
      <c r="T401" s="129">
        <v>2000</v>
      </c>
      <c r="U401" s="129">
        <v>0</v>
      </c>
      <c r="V401" s="130">
        <v>109858</v>
      </c>
      <c r="W401" s="128">
        <v>0</v>
      </c>
      <c r="X401" s="128">
        <v>5</v>
      </c>
      <c r="Y401" s="131" t="str">
        <f ca="1">IF(ISBLANK(BudgetsTable[[#This Row],[budg_seq_yr]]),"FY"&amp;fiscalyear,"FY"&amp;fiscalyear-1+BudgetsTable[[#This Row],[budg_seq_yr]])</f>
        <v>FY22</v>
      </c>
      <c r="Z401" s="129">
        <v>109858</v>
      </c>
      <c r="AA401" s="128" t="s">
        <v>741</v>
      </c>
      <c r="AB401" s="128" t="s">
        <v>528</v>
      </c>
      <c r="AC401" s="126" t="s">
        <v>94</v>
      </c>
      <c r="AD401" s="128" t="s">
        <v>744</v>
      </c>
    </row>
    <row r="402" spans="1:30">
      <c r="A402" s="125" t="s">
        <v>639</v>
      </c>
      <c r="B402" s="126" t="s">
        <v>96</v>
      </c>
      <c r="C402" s="126">
        <f>C401+(BudgetsTable[[#This Row],[lead]]&lt;&gt;K401)</f>
        <v>82</v>
      </c>
      <c r="D402" s="126">
        <f>D401*(BudgetsTable[[#This Row],[lead]]=K401)+(BudgetsTable[[#This Row],[prop_id]]&lt;&gt;A401)</f>
        <v>1</v>
      </c>
      <c r="E402" s="127">
        <v>42934.695138888892</v>
      </c>
      <c r="F402" s="128" t="s">
        <v>242</v>
      </c>
      <c r="G402" s="128" t="s">
        <v>741</v>
      </c>
      <c r="H402" s="128" t="s">
        <v>528</v>
      </c>
      <c r="I402" s="126" t="s">
        <v>540</v>
      </c>
      <c r="J402" s="126" t="s">
        <v>778</v>
      </c>
      <c r="K402" s="128" t="s">
        <v>639</v>
      </c>
      <c r="L402" s="7" t="str">
        <f>IF(BudgetsTable[[#This Row],[pi_last_name]]=" ","",HYPERLINK("https://www.ejacket.nsf.gov/ej/showProposal.do?Continue=Y&amp;ID="&amp;BudgetsTable[[#This Row],[prop_id]],BudgetsTable[[#This Row],[prop_id]]))</f>
        <v>1749977</v>
      </c>
      <c r="M402" s="15" t="str">
        <f>IF(BudgetsTable[[#This Row],[pi_last_name]]=" ","",HYPERLINK("https://www.ejacket.nsf.gov/ej/processReviewAnalysis.do?dispatch=add&amp;uniqId="&amp;BudgetsTable[[#This Row],[prop_id]]&amp;PO_id,"&gt;ra"))</f>
        <v>&gt;ra</v>
      </c>
      <c r="N402" s="128" t="s">
        <v>640</v>
      </c>
      <c r="O402" s="7" t="str">
        <f>IF(BudgetsTable[[#This Row],[pi_last_name]]=" ","",HYPERLINK("mailto:"&amp;BudgetsTable[[#This Row],[pi_email]]&amp;"&amp;subject=Your NSF Proposal:  "&amp;BudgetsTable[[#This Row],[prop_id]],BudgetsTable[[#This Row],[pi_email]]))</f>
        <v>jsolomon@mit.edu</v>
      </c>
      <c r="P402" s="128" t="s">
        <v>775</v>
      </c>
      <c r="Q402" s="128"/>
      <c r="R402" s="128"/>
      <c r="S402" s="129"/>
      <c r="T402" s="129"/>
      <c r="U402" s="129"/>
      <c r="V402" s="130"/>
      <c r="W402" s="128">
        <v>0</v>
      </c>
      <c r="X402" s="128"/>
      <c r="Y402" s="131" t="str">
        <f ca="1">IF(ISBLANK(BudgetsTable[[#This Row],[budg_seq_yr]]),"FY"&amp;fiscalyear,"FY"&amp;fiscalyear-1+BudgetsTable[[#This Row],[budg_seq_yr]])</f>
        <v>FY18</v>
      </c>
      <c r="Z402" s="129">
        <v>550000</v>
      </c>
      <c r="AA402" s="128" t="s">
        <v>741</v>
      </c>
      <c r="AB402" s="128" t="s">
        <v>528</v>
      </c>
      <c r="AC402" s="126" t="s">
        <v>94</v>
      </c>
      <c r="AD402" s="128" t="s">
        <v>751</v>
      </c>
    </row>
    <row r="403" spans="1:30">
      <c r="A403" s="125" t="s">
        <v>639</v>
      </c>
      <c r="B403" s="126" t="s">
        <v>96</v>
      </c>
      <c r="C403" s="126">
        <f>C402+(BudgetsTable[[#This Row],[lead]]&lt;&gt;K402)</f>
        <v>82</v>
      </c>
      <c r="D403" s="126">
        <f>D402*(BudgetsTable[[#This Row],[lead]]=K402)+(BudgetsTable[[#This Row],[prop_id]]&lt;&gt;A402)</f>
        <v>1</v>
      </c>
      <c r="E403" s="127">
        <v>42934.695138888892</v>
      </c>
      <c r="F403" s="128" t="s">
        <v>242</v>
      </c>
      <c r="G403" s="128" t="s">
        <v>741</v>
      </c>
      <c r="H403" s="128" t="s">
        <v>528</v>
      </c>
      <c r="I403" s="126" t="s">
        <v>540</v>
      </c>
      <c r="J403" s="126" t="s">
        <v>13</v>
      </c>
      <c r="K403" s="128" t="s">
        <v>639</v>
      </c>
      <c r="L403" s="7" t="str">
        <f>IF(BudgetsTable[[#This Row],[pi_last_name]]=" ","",HYPERLINK("https://www.ejacket.nsf.gov/ej/showProposal.do?Continue=Y&amp;ID="&amp;BudgetsTable[[#This Row],[prop_id]],BudgetsTable[[#This Row],[prop_id]]))</f>
        <v/>
      </c>
      <c r="M403" s="15" t="str">
        <f>IF(BudgetsTable[[#This Row],[pi_last_name]]=" ","",HYPERLINK("https://www.ejacket.nsf.gov/ej/processReviewAnalysis.do?dispatch=add&amp;uniqId="&amp;BudgetsTable[[#This Row],[prop_id]]&amp;PO_id,"&gt;ra"))</f>
        <v/>
      </c>
      <c r="N403" s="128" t="s">
        <v>13</v>
      </c>
      <c r="O403" s="7" t="str">
        <f>IF(BudgetsTable[[#This Row],[pi_last_name]]=" ","",HYPERLINK("mailto:"&amp;BudgetsTable[[#This Row],[pi_email]]&amp;"&amp;subject=Your NSF Proposal:  "&amp;BudgetsTable[[#This Row],[prop_id]],BudgetsTable[[#This Row],[pi_email]]))</f>
        <v/>
      </c>
      <c r="P403" s="128" t="s">
        <v>13</v>
      </c>
      <c r="Q403" s="128">
        <v>1</v>
      </c>
      <c r="R403" s="128">
        <v>0.5</v>
      </c>
      <c r="S403" s="129">
        <v>0</v>
      </c>
      <c r="T403" s="129">
        <v>0</v>
      </c>
      <c r="U403" s="129">
        <v>0</v>
      </c>
      <c r="V403" s="130">
        <v>103625</v>
      </c>
      <c r="W403" s="128">
        <v>0</v>
      </c>
      <c r="X403" s="128">
        <v>1</v>
      </c>
      <c r="Y403" s="131" t="str">
        <f ca="1">IF(ISBLANK(BudgetsTable[[#This Row],[budg_seq_yr]]),"FY"&amp;fiscalyear,"FY"&amp;fiscalyear-1+BudgetsTable[[#This Row],[budg_seq_yr]])</f>
        <v>FY18</v>
      </c>
      <c r="Z403" s="129">
        <v>103625</v>
      </c>
      <c r="AA403" s="128" t="s">
        <v>741</v>
      </c>
      <c r="AB403" s="128" t="s">
        <v>528</v>
      </c>
      <c r="AC403" s="126" t="s">
        <v>94</v>
      </c>
      <c r="AD403" s="128" t="s">
        <v>751</v>
      </c>
    </row>
    <row r="404" spans="1:30">
      <c r="A404" s="125" t="s">
        <v>639</v>
      </c>
      <c r="B404" s="126" t="s">
        <v>96</v>
      </c>
      <c r="C404" s="126">
        <f>C403+(BudgetsTable[[#This Row],[lead]]&lt;&gt;K403)</f>
        <v>82</v>
      </c>
      <c r="D404" s="126">
        <f>D403*(BudgetsTable[[#This Row],[lead]]=K403)+(BudgetsTable[[#This Row],[prop_id]]&lt;&gt;A403)</f>
        <v>1</v>
      </c>
      <c r="E404" s="127">
        <v>42934.695138888892</v>
      </c>
      <c r="F404" s="128" t="s">
        <v>242</v>
      </c>
      <c r="G404" s="128" t="s">
        <v>741</v>
      </c>
      <c r="H404" s="128" t="s">
        <v>528</v>
      </c>
      <c r="I404" s="126" t="s">
        <v>540</v>
      </c>
      <c r="J404" s="126" t="s">
        <v>13</v>
      </c>
      <c r="K404" s="128" t="s">
        <v>639</v>
      </c>
      <c r="L404" s="7" t="str">
        <f>IF(BudgetsTable[[#This Row],[pi_last_name]]=" ","",HYPERLINK("https://www.ejacket.nsf.gov/ej/showProposal.do?Continue=Y&amp;ID="&amp;BudgetsTable[[#This Row],[prop_id]],BudgetsTable[[#This Row],[prop_id]]))</f>
        <v/>
      </c>
      <c r="M404" s="15" t="str">
        <f>IF(BudgetsTable[[#This Row],[pi_last_name]]=" ","",HYPERLINK("https://www.ejacket.nsf.gov/ej/processReviewAnalysis.do?dispatch=add&amp;uniqId="&amp;BudgetsTable[[#This Row],[prop_id]]&amp;PO_id,"&gt;ra"))</f>
        <v/>
      </c>
      <c r="N404" s="128" t="s">
        <v>13</v>
      </c>
      <c r="O404" s="7" t="str">
        <f>IF(BudgetsTable[[#This Row],[pi_last_name]]=" ","",HYPERLINK("mailto:"&amp;BudgetsTable[[#This Row],[pi_email]]&amp;"&amp;subject=Your NSF Proposal:  "&amp;BudgetsTable[[#This Row],[prop_id]],BudgetsTable[[#This Row],[pi_email]]))</f>
        <v/>
      </c>
      <c r="P404" s="128" t="s">
        <v>13</v>
      </c>
      <c r="Q404" s="128">
        <v>1</v>
      </c>
      <c r="R404" s="128">
        <v>0.5</v>
      </c>
      <c r="S404" s="129">
        <v>0</v>
      </c>
      <c r="T404" s="129">
        <v>0</v>
      </c>
      <c r="U404" s="129">
        <v>0</v>
      </c>
      <c r="V404" s="130">
        <v>106592</v>
      </c>
      <c r="W404" s="128">
        <v>0</v>
      </c>
      <c r="X404" s="128">
        <v>2</v>
      </c>
      <c r="Y404" s="131" t="str">
        <f ca="1">IF(ISBLANK(BudgetsTable[[#This Row],[budg_seq_yr]]),"FY"&amp;fiscalyear,"FY"&amp;fiscalyear-1+BudgetsTable[[#This Row],[budg_seq_yr]])</f>
        <v>FY19</v>
      </c>
      <c r="Z404" s="129">
        <v>106592</v>
      </c>
      <c r="AA404" s="128" t="s">
        <v>741</v>
      </c>
      <c r="AB404" s="128" t="s">
        <v>528</v>
      </c>
      <c r="AC404" s="126" t="s">
        <v>94</v>
      </c>
      <c r="AD404" s="128" t="s">
        <v>751</v>
      </c>
    </row>
    <row r="405" spans="1:30">
      <c r="A405" s="125" t="s">
        <v>639</v>
      </c>
      <c r="B405" s="126" t="s">
        <v>96</v>
      </c>
      <c r="C405" s="126">
        <f>C404+(BudgetsTable[[#This Row],[lead]]&lt;&gt;K404)</f>
        <v>82</v>
      </c>
      <c r="D405" s="126">
        <f>D404*(BudgetsTable[[#This Row],[lead]]=K404)+(BudgetsTable[[#This Row],[prop_id]]&lt;&gt;A404)</f>
        <v>1</v>
      </c>
      <c r="E405" s="127">
        <v>42934.695138888892</v>
      </c>
      <c r="F405" s="128" t="s">
        <v>242</v>
      </c>
      <c r="G405" s="128" t="s">
        <v>741</v>
      </c>
      <c r="H405" s="128" t="s">
        <v>528</v>
      </c>
      <c r="I405" s="126" t="s">
        <v>540</v>
      </c>
      <c r="J405" s="126" t="s">
        <v>13</v>
      </c>
      <c r="K405" s="128" t="s">
        <v>639</v>
      </c>
      <c r="L405" s="7" t="str">
        <f>IF(BudgetsTable[[#This Row],[pi_last_name]]=" ","",HYPERLINK("https://www.ejacket.nsf.gov/ej/showProposal.do?Continue=Y&amp;ID="&amp;BudgetsTable[[#This Row],[prop_id]],BudgetsTable[[#This Row],[prop_id]]))</f>
        <v/>
      </c>
      <c r="M405" s="15" t="str">
        <f>IF(BudgetsTable[[#This Row],[pi_last_name]]=" ","",HYPERLINK("https://www.ejacket.nsf.gov/ej/processReviewAnalysis.do?dispatch=add&amp;uniqId="&amp;BudgetsTable[[#This Row],[prop_id]]&amp;PO_id,"&gt;ra"))</f>
        <v/>
      </c>
      <c r="N405" s="128" t="s">
        <v>13</v>
      </c>
      <c r="O405" s="7" t="str">
        <f>IF(BudgetsTable[[#This Row],[pi_last_name]]=" ","",HYPERLINK("mailto:"&amp;BudgetsTable[[#This Row],[pi_email]]&amp;"&amp;subject=Your NSF Proposal:  "&amp;BudgetsTable[[#This Row],[prop_id]],BudgetsTable[[#This Row],[pi_email]]))</f>
        <v/>
      </c>
      <c r="P405" s="128" t="s">
        <v>13</v>
      </c>
      <c r="Q405" s="128">
        <v>1</v>
      </c>
      <c r="R405" s="128">
        <v>0.5</v>
      </c>
      <c r="S405" s="129">
        <v>0</v>
      </c>
      <c r="T405" s="129">
        <v>0</v>
      </c>
      <c r="U405" s="129">
        <v>0</v>
      </c>
      <c r="V405" s="130">
        <v>109530</v>
      </c>
      <c r="W405" s="128">
        <v>0</v>
      </c>
      <c r="X405" s="128">
        <v>3</v>
      </c>
      <c r="Y405" s="131" t="str">
        <f ca="1">IF(ISBLANK(BudgetsTable[[#This Row],[budg_seq_yr]]),"FY"&amp;fiscalyear,"FY"&amp;fiscalyear-1+BudgetsTable[[#This Row],[budg_seq_yr]])</f>
        <v>FY20</v>
      </c>
      <c r="Z405" s="129">
        <v>109530</v>
      </c>
      <c r="AA405" s="128" t="s">
        <v>741</v>
      </c>
      <c r="AB405" s="128" t="s">
        <v>528</v>
      </c>
      <c r="AC405" s="126" t="s">
        <v>94</v>
      </c>
      <c r="AD405" s="128" t="s">
        <v>751</v>
      </c>
    </row>
    <row r="406" spans="1:30">
      <c r="A406" s="125" t="s">
        <v>639</v>
      </c>
      <c r="B406" s="126" t="s">
        <v>96</v>
      </c>
      <c r="C406" s="126">
        <f>C405+(BudgetsTable[[#This Row],[lead]]&lt;&gt;K405)</f>
        <v>82</v>
      </c>
      <c r="D406" s="126">
        <f>D405*(BudgetsTable[[#This Row],[lead]]=K405)+(BudgetsTable[[#This Row],[prop_id]]&lt;&gt;A405)</f>
        <v>1</v>
      </c>
      <c r="E406" s="127">
        <v>42934.695138888892</v>
      </c>
      <c r="F406" s="128" t="s">
        <v>242</v>
      </c>
      <c r="G406" s="128" t="s">
        <v>741</v>
      </c>
      <c r="H406" s="128" t="s">
        <v>528</v>
      </c>
      <c r="I406" s="126" t="s">
        <v>540</v>
      </c>
      <c r="J406" s="126" t="s">
        <v>13</v>
      </c>
      <c r="K406" s="128" t="s">
        <v>639</v>
      </c>
      <c r="L406" s="7" t="str">
        <f>IF(BudgetsTable[[#This Row],[pi_last_name]]=" ","",HYPERLINK("https://www.ejacket.nsf.gov/ej/showProposal.do?Continue=Y&amp;ID="&amp;BudgetsTable[[#This Row],[prop_id]],BudgetsTable[[#This Row],[prop_id]]))</f>
        <v/>
      </c>
      <c r="M406" s="15" t="str">
        <f>IF(BudgetsTable[[#This Row],[pi_last_name]]=" ","",HYPERLINK("https://www.ejacket.nsf.gov/ej/processReviewAnalysis.do?dispatch=add&amp;uniqId="&amp;BudgetsTable[[#This Row],[prop_id]]&amp;PO_id,"&gt;ra"))</f>
        <v/>
      </c>
      <c r="N406" s="128" t="s">
        <v>13</v>
      </c>
      <c r="O406" s="7" t="str">
        <f>IF(BudgetsTable[[#This Row],[pi_last_name]]=" ","",HYPERLINK("mailto:"&amp;BudgetsTable[[#This Row],[pi_email]]&amp;"&amp;subject=Your NSF Proposal:  "&amp;BudgetsTable[[#This Row],[prop_id]],BudgetsTable[[#This Row],[pi_email]]))</f>
        <v/>
      </c>
      <c r="P406" s="128" t="s">
        <v>13</v>
      </c>
      <c r="Q406" s="128">
        <v>1</v>
      </c>
      <c r="R406" s="128">
        <v>0.5</v>
      </c>
      <c r="S406" s="129">
        <v>0</v>
      </c>
      <c r="T406" s="129">
        <v>0</v>
      </c>
      <c r="U406" s="129">
        <v>0</v>
      </c>
      <c r="V406" s="130">
        <v>113216</v>
      </c>
      <c r="W406" s="128">
        <v>0</v>
      </c>
      <c r="X406" s="128">
        <v>4</v>
      </c>
      <c r="Y406" s="131" t="str">
        <f ca="1">IF(ISBLANK(BudgetsTable[[#This Row],[budg_seq_yr]]),"FY"&amp;fiscalyear,"FY"&amp;fiscalyear-1+BudgetsTable[[#This Row],[budg_seq_yr]])</f>
        <v>FY21</v>
      </c>
      <c r="Z406" s="129">
        <v>113216</v>
      </c>
      <c r="AA406" s="128" t="s">
        <v>741</v>
      </c>
      <c r="AB406" s="128" t="s">
        <v>528</v>
      </c>
      <c r="AC406" s="126" t="s">
        <v>94</v>
      </c>
      <c r="AD406" s="128" t="s">
        <v>751</v>
      </c>
    </row>
    <row r="407" spans="1:30">
      <c r="A407" s="125" t="s">
        <v>639</v>
      </c>
      <c r="B407" s="126" t="s">
        <v>96</v>
      </c>
      <c r="C407" s="126">
        <f>C406+(BudgetsTable[[#This Row],[lead]]&lt;&gt;K406)</f>
        <v>82</v>
      </c>
      <c r="D407" s="126">
        <f>D406*(BudgetsTable[[#This Row],[lead]]=K406)+(BudgetsTable[[#This Row],[prop_id]]&lt;&gt;A406)</f>
        <v>1</v>
      </c>
      <c r="E407" s="127">
        <v>42934.695138888892</v>
      </c>
      <c r="F407" s="128" t="s">
        <v>242</v>
      </c>
      <c r="G407" s="128" t="s">
        <v>741</v>
      </c>
      <c r="H407" s="128" t="s">
        <v>528</v>
      </c>
      <c r="I407" s="126" t="s">
        <v>540</v>
      </c>
      <c r="J407" s="126" t="s">
        <v>13</v>
      </c>
      <c r="K407" s="128" t="s">
        <v>639</v>
      </c>
      <c r="L407" s="7" t="str">
        <f>IF(BudgetsTable[[#This Row],[pi_last_name]]=" ","",HYPERLINK("https://www.ejacket.nsf.gov/ej/showProposal.do?Continue=Y&amp;ID="&amp;BudgetsTable[[#This Row],[prop_id]],BudgetsTable[[#This Row],[prop_id]]))</f>
        <v/>
      </c>
      <c r="M407" s="15" t="str">
        <f>IF(BudgetsTable[[#This Row],[pi_last_name]]=" ","",HYPERLINK("https://www.ejacket.nsf.gov/ej/processReviewAnalysis.do?dispatch=add&amp;uniqId="&amp;BudgetsTable[[#This Row],[prop_id]]&amp;PO_id,"&gt;ra"))</f>
        <v/>
      </c>
      <c r="N407" s="128" t="s">
        <v>13</v>
      </c>
      <c r="O407" s="7" t="str">
        <f>IF(BudgetsTable[[#This Row],[pi_last_name]]=" ","",HYPERLINK("mailto:"&amp;BudgetsTable[[#This Row],[pi_email]]&amp;"&amp;subject=Your NSF Proposal:  "&amp;BudgetsTable[[#This Row],[prop_id]],BudgetsTable[[#This Row],[pi_email]]))</f>
        <v/>
      </c>
      <c r="P407" s="128" t="s">
        <v>13</v>
      </c>
      <c r="Q407" s="128">
        <v>1</v>
      </c>
      <c r="R407" s="128">
        <v>0.5</v>
      </c>
      <c r="S407" s="129">
        <v>0</v>
      </c>
      <c r="T407" s="129">
        <v>0</v>
      </c>
      <c r="U407" s="129">
        <v>0</v>
      </c>
      <c r="V407" s="130">
        <v>117037</v>
      </c>
      <c r="W407" s="128">
        <v>0</v>
      </c>
      <c r="X407" s="128">
        <v>5</v>
      </c>
      <c r="Y407" s="131" t="str">
        <f ca="1">IF(ISBLANK(BudgetsTable[[#This Row],[budg_seq_yr]]),"FY"&amp;fiscalyear,"FY"&amp;fiscalyear-1+BudgetsTable[[#This Row],[budg_seq_yr]])</f>
        <v>FY22</v>
      </c>
      <c r="Z407" s="129">
        <v>117037</v>
      </c>
      <c r="AA407" s="128" t="s">
        <v>741</v>
      </c>
      <c r="AB407" s="128" t="s">
        <v>528</v>
      </c>
      <c r="AC407" s="126" t="s">
        <v>94</v>
      </c>
      <c r="AD407" s="128" t="s">
        <v>751</v>
      </c>
    </row>
    <row r="408" spans="1:30">
      <c r="A408" s="125" t="s">
        <v>1560</v>
      </c>
      <c r="B408" s="126" t="s">
        <v>96</v>
      </c>
      <c r="C408" s="126">
        <f>C407+(BudgetsTable[[#This Row],[lead]]&lt;&gt;K407)</f>
        <v>83</v>
      </c>
      <c r="D408" s="126">
        <f>D407*(BudgetsTable[[#This Row],[lead]]=K407)+(BudgetsTable[[#This Row],[prop_id]]&lt;&gt;A407)</f>
        <v>1</v>
      </c>
      <c r="E408" s="127">
        <v>42934.734722222223</v>
      </c>
      <c r="F408" s="128" t="s">
        <v>242</v>
      </c>
      <c r="G408" s="128" t="s">
        <v>741</v>
      </c>
      <c r="H408" s="128" t="s">
        <v>528</v>
      </c>
      <c r="I408" s="126" t="s">
        <v>543</v>
      </c>
      <c r="J408" s="126" t="s">
        <v>2371</v>
      </c>
      <c r="K408" s="128" t="s">
        <v>1560</v>
      </c>
      <c r="L408" s="7" t="str">
        <f>IF(BudgetsTable[[#This Row],[pi_last_name]]=" ","",HYPERLINK("https://www.ejacket.nsf.gov/ej/showProposal.do?Continue=Y&amp;ID="&amp;BudgetsTable[[#This Row],[prop_id]],BudgetsTable[[#This Row],[prop_id]]))</f>
        <v>1750032</v>
      </c>
      <c r="M408" s="15" t="str">
        <f>IF(BudgetsTable[[#This Row],[pi_last_name]]=" ","",HYPERLINK("https://www.ejacket.nsf.gov/ej/processReviewAnalysis.do?dispatch=add&amp;uniqId="&amp;BudgetsTable[[#This Row],[prop_id]]&amp;PO_id,"&gt;ra"))</f>
        <v>&gt;ra</v>
      </c>
      <c r="N408" s="128" t="s">
        <v>1561</v>
      </c>
      <c r="O408" s="7" t="str">
        <f>IF(BudgetsTable[[#This Row],[pi_last_name]]=" ","",HYPERLINK("mailto:"&amp;BudgetsTable[[#This Row],[pi_email]]&amp;"&amp;subject=Your NSF Proposal:  "&amp;BudgetsTable[[#This Row],[prop_id]],BudgetsTable[[#This Row],[pi_email]]))</f>
        <v>jt1157@georgetown.edu</v>
      </c>
      <c r="P408" s="128" t="s">
        <v>2003</v>
      </c>
      <c r="Q408" s="128"/>
      <c r="R408" s="128"/>
      <c r="S408" s="129"/>
      <c r="T408" s="129"/>
      <c r="U408" s="129"/>
      <c r="V408" s="130"/>
      <c r="W408" s="128">
        <v>0</v>
      </c>
      <c r="X408" s="128"/>
      <c r="Y408" s="131" t="str">
        <f ca="1">IF(ISBLANK(BudgetsTable[[#This Row],[budg_seq_yr]]),"FY"&amp;fiscalyear,"FY"&amp;fiscalyear-1+BudgetsTable[[#This Row],[budg_seq_yr]])</f>
        <v>FY18</v>
      </c>
      <c r="Z408" s="129">
        <v>525636</v>
      </c>
      <c r="AA408" s="128" t="s">
        <v>741</v>
      </c>
      <c r="AB408" s="128" t="s">
        <v>528</v>
      </c>
      <c r="AC408" s="126" t="s">
        <v>94</v>
      </c>
      <c r="AD408" s="128" t="s">
        <v>2365</v>
      </c>
    </row>
    <row r="409" spans="1:30">
      <c r="A409" s="125" t="s">
        <v>1560</v>
      </c>
      <c r="B409" s="126" t="s">
        <v>96</v>
      </c>
      <c r="C409" s="126">
        <f>C408+(BudgetsTable[[#This Row],[lead]]&lt;&gt;K408)</f>
        <v>83</v>
      </c>
      <c r="D409" s="126">
        <f>D408*(BudgetsTable[[#This Row],[lead]]=K408)+(BudgetsTable[[#This Row],[prop_id]]&lt;&gt;A408)</f>
        <v>1</v>
      </c>
      <c r="E409" s="127">
        <v>42934.734722222223</v>
      </c>
      <c r="F409" s="128" t="s">
        <v>242</v>
      </c>
      <c r="G409" s="128" t="s">
        <v>741</v>
      </c>
      <c r="H409" s="128" t="s">
        <v>528</v>
      </c>
      <c r="I409" s="126" t="s">
        <v>543</v>
      </c>
      <c r="J409" s="126" t="s">
        <v>13</v>
      </c>
      <c r="K409" s="128" t="s">
        <v>1560</v>
      </c>
      <c r="L409" s="7" t="str">
        <f>IF(BudgetsTable[[#This Row],[pi_last_name]]=" ","",HYPERLINK("https://www.ejacket.nsf.gov/ej/showProposal.do?Continue=Y&amp;ID="&amp;BudgetsTable[[#This Row],[prop_id]],BudgetsTable[[#This Row],[prop_id]]))</f>
        <v/>
      </c>
      <c r="M409" s="15" t="str">
        <f>IF(BudgetsTable[[#This Row],[pi_last_name]]=" ","",HYPERLINK("https://www.ejacket.nsf.gov/ej/processReviewAnalysis.do?dispatch=add&amp;uniqId="&amp;BudgetsTable[[#This Row],[prop_id]]&amp;PO_id,"&gt;ra"))</f>
        <v/>
      </c>
      <c r="N409" s="128" t="s">
        <v>13</v>
      </c>
      <c r="O409" s="7" t="str">
        <f>IF(BudgetsTable[[#This Row],[pi_last_name]]=" ","",HYPERLINK("mailto:"&amp;BudgetsTable[[#This Row],[pi_email]]&amp;"&amp;subject=Your NSF Proposal:  "&amp;BudgetsTable[[#This Row],[prop_id]],BudgetsTable[[#This Row],[pi_email]]))</f>
        <v/>
      </c>
      <c r="P409" s="128" t="s">
        <v>13</v>
      </c>
      <c r="Q409" s="128">
        <v>1</v>
      </c>
      <c r="R409" s="128">
        <v>2</v>
      </c>
      <c r="S409" s="129">
        <v>0</v>
      </c>
      <c r="T409" s="129">
        <v>2500</v>
      </c>
      <c r="U409" s="129">
        <v>0</v>
      </c>
      <c r="V409" s="130">
        <v>65366</v>
      </c>
      <c r="W409" s="128">
        <v>0</v>
      </c>
      <c r="X409" s="128">
        <v>1</v>
      </c>
      <c r="Y409" s="131" t="str">
        <f ca="1">IF(ISBLANK(BudgetsTable[[#This Row],[budg_seq_yr]]),"FY"&amp;fiscalyear,"FY"&amp;fiscalyear-1+BudgetsTable[[#This Row],[budg_seq_yr]])</f>
        <v>FY18</v>
      </c>
      <c r="Z409" s="129">
        <v>65366</v>
      </c>
      <c r="AA409" s="128" t="s">
        <v>741</v>
      </c>
      <c r="AB409" s="128" t="s">
        <v>528</v>
      </c>
      <c r="AC409" s="126" t="s">
        <v>94</v>
      </c>
      <c r="AD409" s="128" t="s">
        <v>2365</v>
      </c>
    </row>
    <row r="410" spans="1:30">
      <c r="A410" s="125" t="s">
        <v>1560</v>
      </c>
      <c r="B410" s="126" t="s">
        <v>96</v>
      </c>
      <c r="C410" s="126">
        <f>C409+(BudgetsTable[[#This Row],[lead]]&lt;&gt;K409)</f>
        <v>83</v>
      </c>
      <c r="D410" s="126">
        <f>D409*(BudgetsTable[[#This Row],[lead]]=K409)+(BudgetsTable[[#This Row],[prop_id]]&lt;&gt;A409)</f>
        <v>1</v>
      </c>
      <c r="E410" s="127">
        <v>42934.734722222223</v>
      </c>
      <c r="F410" s="128" t="s">
        <v>242</v>
      </c>
      <c r="G410" s="128" t="s">
        <v>741</v>
      </c>
      <c r="H410" s="128" t="s">
        <v>528</v>
      </c>
      <c r="I410" s="126" t="s">
        <v>543</v>
      </c>
      <c r="J410" s="126" t="s">
        <v>13</v>
      </c>
      <c r="K410" s="128" t="s">
        <v>1560</v>
      </c>
      <c r="L410" s="7" t="str">
        <f>IF(BudgetsTable[[#This Row],[pi_last_name]]=" ","",HYPERLINK("https://www.ejacket.nsf.gov/ej/showProposal.do?Continue=Y&amp;ID="&amp;BudgetsTable[[#This Row],[prop_id]],BudgetsTable[[#This Row],[prop_id]]))</f>
        <v/>
      </c>
      <c r="M410" s="15" t="str">
        <f>IF(BudgetsTable[[#This Row],[pi_last_name]]=" ","",HYPERLINK("https://www.ejacket.nsf.gov/ej/processReviewAnalysis.do?dispatch=add&amp;uniqId="&amp;BudgetsTable[[#This Row],[prop_id]]&amp;PO_id,"&gt;ra"))</f>
        <v/>
      </c>
      <c r="N410" s="128" t="s">
        <v>13</v>
      </c>
      <c r="O410" s="7" t="str">
        <f>IF(BudgetsTable[[#This Row],[pi_last_name]]=" ","",HYPERLINK("mailto:"&amp;BudgetsTable[[#This Row],[pi_email]]&amp;"&amp;subject=Your NSF Proposal:  "&amp;BudgetsTable[[#This Row],[prop_id]],BudgetsTable[[#This Row],[pi_email]]))</f>
        <v/>
      </c>
      <c r="P410" s="128" t="s">
        <v>13</v>
      </c>
      <c r="Q410" s="128">
        <v>1</v>
      </c>
      <c r="R410" s="128">
        <v>2</v>
      </c>
      <c r="S410" s="129">
        <v>0</v>
      </c>
      <c r="T410" s="129">
        <v>2500</v>
      </c>
      <c r="U410" s="129">
        <v>0</v>
      </c>
      <c r="V410" s="130">
        <v>138114</v>
      </c>
      <c r="W410" s="128">
        <v>0</v>
      </c>
      <c r="X410" s="128">
        <v>2</v>
      </c>
      <c r="Y410" s="131" t="str">
        <f ca="1">IF(ISBLANK(BudgetsTable[[#This Row],[budg_seq_yr]]),"FY"&amp;fiscalyear,"FY"&amp;fiscalyear-1+BudgetsTable[[#This Row],[budg_seq_yr]])</f>
        <v>FY19</v>
      </c>
      <c r="Z410" s="129">
        <v>138114</v>
      </c>
      <c r="AA410" s="128" t="s">
        <v>741</v>
      </c>
      <c r="AB410" s="128" t="s">
        <v>528</v>
      </c>
      <c r="AC410" s="126" t="s">
        <v>94</v>
      </c>
      <c r="AD410" s="128" t="s">
        <v>2365</v>
      </c>
    </row>
    <row r="411" spans="1:30">
      <c r="A411" s="125" t="s">
        <v>1560</v>
      </c>
      <c r="B411" s="126" t="s">
        <v>96</v>
      </c>
      <c r="C411" s="126">
        <f>C410+(BudgetsTable[[#This Row],[lead]]&lt;&gt;K410)</f>
        <v>83</v>
      </c>
      <c r="D411" s="126">
        <f>D410*(BudgetsTable[[#This Row],[lead]]=K410)+(BudgetsTable[[#This Row],[prop_id]]&lt;&gt;A410)</f>
        <v>1</v>
      </c>
      <c r="E411" s="127">
        <v>42934.734722222223</v>
      </c>
      <c r="F411" s="128" t="s">
        <v>242</v>
      </c>
      <c r="G411" s="128" t="s">
        <v>741</v>
      </c>
      <c r="H411" s="128" t="s">
        <v>528</v>
      </c>
      <c r="I411" s="126" t="s">
        <v>543</v>
      </c>
      <c r="J411" s="126" t="s">
        <v>13</v>
      </c>
      <c r="K411" s="128" t="s">
        <v>1560</v>
      </c>
      <c r="L411" s="7" t="str">
        <f>IF(BudgetsTable[[#This Row],[pi_last_name]]=" ","",HYPERLINK("https://www.ejacket.nsf.gov/ej/showProposal.do?Continue=Y&amp;ID="&amp;BudgetsTable[[#This Row],[prop_id]],BudgetsTable[[#This Row],[prop_id]]))</f>
        <v/>
      </c>
      <c r="M411" s="15" t="str">
        <f>IF(BudgetsTable[[#This Row],[pi_last_name]]=" ","",HYPERLINK("https://www.ejacket.nsf.gov/ej/processReviewAnalysis.do?dispatch=add&amp;uniqId="&amp;BudgetsTable[[#This Row],[prop_id]]&amp;PO_id,"&gt;ra"))</f>
        <v/>
      </c>
      <c r="N411" s="128" t="s">
        <v>13</v>
      </c>
      <c r="O411" s="7" t="str">
        <f>IF(BudgetsTable[[#This Row],[pi_last_name]]=" ","",HYPERLINK("mailto:"&amp;BudgetsTable[[#This Row],[pi_email]]&amp;"&amp;subject=Your NSF Proposal:  "&amp;BudgetsTable[[#This Row],[prop_id]],BudgetsTable[[#This Row],[pi_email]]))</f>
        <v/>
      </c>
      <c r="P411" s="128" t="s">
        <v>13</v>
      </c>
      <c r="Q411" s="128">
        <v>1</v>
      </c>
      <c r="R411" s="128">
        <v>1</v>
      </c>
      <c r="S411" s="129">
        <v>0</v>
      </c>
      <c r="T411" s="129">
        <v>2500</v>
      </c>
      <c r="U411" s="129">
        <v>0</v>
      </c>
      <c r="V411" s="130">
        <v>110159</v>
      </c>
      <c r="W411" s="128">
        <v>0</v>
      </c>
      <c r="X411" s="128">
        <v>3</v>
      </c>
      <c r="Y411" s="131" t="str">
        <f ca="1">IF(ISBLANK(BudgetsTable[[#This Row],[budg_seq_yr]]),"FY"&amp;fiscalyear,"FY"&amp;fiscalyear-1+BudgetsTable[[#This Row],[budg_seq_yr]])</f>
        <v>FY20</v>
      </c>
      <c r="Z411" s="129">
        <v>110159</v>
      </c>
      <c r="AA411" s="128" t="s">
        <v>741</v>
      </c>
      <c r="AB411" s="128" t="s">
        <v>528</v>
      </c>
      <c r="AC411" s="126" t="s">
        <v>94</v>
      </c>
      <c r="AD411" s="128" t="s">
        <v>2365</v>
      </c>
    </row>
    <row r="412" spans="1:30">
      <c r="A412" s="125" t="s">
        <v>1560</v>
      </c>
      <c r="B412" s="126" t="s">
        <v>96</v>
      </c>
      <c r="C412" s="126">
        <f>C411+(BudgetsTable[[#This Row],[lead]]&lt;&gt;K411)</f>
        <v>83</v>
      </c>
      <c r="D412" s="126">
        <f>D411*(BudgetsTable[[#This Row],[lead]]=K411)+(BudgetsTable[[#This Row],[prop_id]]&lt;&gt;A411)</f>
        <v>1</v>
      </c>
      <c r="E412" s="127">
        <v>42934.734722222223</v>
      </c>
      <c r="F412" s="128" t="s">
        <v>242</v>
      </c>
      <c r="G412" s="128" t="s">
        <v>741</v>
      </c>
      <c r="H412" s="128" t="s">
        <v>528</v>
      </c>
      <c r="I412" s="126" t="s">
        <v>543</v>
      </c>
      <c r="J412" s="126" t="s">
        <v>13</v>
      </c>
      <c r="K412" s="128" t="s">
        <v>1560</v>
      </c>
      <c r="L412" s="7" t="str">
        <f>IF(BudgetsTable[[#This Row],[pi_last_name]]=" ","",HYPERLINK("https://www.ejacket.nsf.gov/ej/showProposal.do?Continue=Y&amp;ID="&amp;BudgetsTable[[#This Row],[prop_id]],BudgetsTable[[#This Row],[prop_id]]))</f>
        <v/>
      </c>
      <c r="M412" s="15" t="str">
        <f>IF(BudgetsTable[[#This Row],[pi_last_name]]=" ","",HYPERLINK("https://www.ejacket.nsf.gov/ej/processReviewAnalysis.do?dispatch=add&amp;uniqId="&amp;BudgetsTable[[#This Row],[prop_id]]&amp;PO_id,"&gt;ra"))</f>
        <v/>
      </c>
      <c r="N412" s="128" t="s">
        <v>13</v>
      </c>
      <c r="O412" s="7" t="str">
        <f>IF(BudgetsTable[[#This Row],[pi_last_name]]=" ","",HYPERLINK("mailto:"&amp;BudgetsTable[[#This Row],[pi_email]]&amp;"&amp;subject=Your NSF Proposal:  "&amp;BudgetsTable[[#This Row],[prop_id]],BudgetsTable[[#This Row],[pi_email]]))</f>
        <v/>
      </c>
      <c r="P412" s="128" t="s">
        <v>13</v>
      </c>
      <c r="Q412" s="128">
        <v>1</v>
      </c>
      <c r="R412" s="128">
        <v>1</v>
      </c>
      <c r="S412" s="129">
        <v>0</v>
      </c>
      <c r="T412" s="129">
        <v>2500</v>
      </c>
      <c r="U412" s="129">
        <v>0</v>
      </c>
      <c r="V412" s="130">
        <v>111876</v>
      </c>
      <c r="W412" s="128">
        <v>0</v>
      </c>
      <c r="X412" s="128">
        <v>4</v>
      </c>
      <c r="Y412" s="131" t="str">
        <f ca="1">IF(ISBLANK(BudgetsTable[[#This Row],[budg_seq_yr]]),"FY"&amp;fiscalyear,"FY"&amp;fiscalyear-1+BudgetsTable[[#This Row],[budg_seq_yr]])</f>
        <v>FY21</v>
      </c>
      <c r="Z412" s="129">
        <v>111876</v>
      </c>
      <c r="AA412" s="128" t="s">
        <v>741</v>
      </c>
      <c r="AB412" s="128" t="s">
        <v>528</v>
      </c>
      <c r="AC412" s="126" t="s">
        <v>94</v>
      </c>
      <c r="AD412" s="128" t="s">
        <v>2365</v>
      </c>
    </row>
    <row r="413" spans="1:30">
      <c r="A413" s="125" t="s">
        <v>1560</v>
      </c>
      <c r="B413" s="126" t="s">
        <v>96</v>
      </c>
      <c r="C413" s="126">
        <f>C412+(BudgetsTable[[#This Row],[lead]]&lt;&gt;K412)</f>
        <v>83</v>
      </c>
      <c r="D413" s="126">
        <f>D412*(BudgetsTable[[#This Row],[lead]]=K412)+(BudgetsTable[[#This Row],[prop_id]]&lt;&gt;A412)</f>
        <v>1</v>
      </c>
      <c r="E413" s="127">
        <v>42934.734722222223</v>
      </c>
      <c r="F413" s="128" t="s">
        <v>242</v>
      </c>
      <c r="G413" s="128" t="s">
        <v>741</v>
      </c>
      <c r="H413" s="128" t="s">
        <v>528</v>
      </c>
      <c r="I413" s="126" t="s">
        <v>543</v>
      </c>
      <c r="J413" s="126" t="s">
        <v>13</v>
      </c>
      <c r="K413" s="128" t="s">
        <v>1560</v>
      </c>
      <c r="L413" s="7" t="str">
        <f>IF(BudgetsTable[[#This Row],[pi_last_name]]=" ","",HYPERLINK("https://www.ejacket.nsf.gov/ej/showProposal.do?Continue=Y&amp;ID="&amp;BudgetsTable[[#This Row],[prop_id]],BudgetsTable[[#This Row],[prop_id]]))</f>
        <v/>
      </c>
      <c r="M413" s="15" t="str">
        <f>IF(BudgetsTable[[#This Row],[pi_last_name]]=" ","",HYPERLINK("https://www.ejacket.nsf.gov/ej/processReviewAnalysis.do?dispatch=add&amp;uniqId="&amp;BudgetsTable[[#This Row],[prop_id]]&amp;PO_id,"&gt;ra"))</f>
        <v/>
      </c>
      <c r="N413" s="128" t="s">
        <v>13</v>
      </c>
      <c r="O413" s="7" t="str">
        <f>IF(BudgetsTable[[#This Row],[pi_last_name]]=" ","",HYPERLINK("mailto:"&amp;BudgetsTable[[#This Row],[pi_email]]&amp;"&amp;subject=Your NSF Proposal:  "&amp;BudgetsTable[[#This Row],[prop_id]],BudgetsTable[[#This Row],[pi_email]]))</f>
        <v/>
      </c>
      <c r="P413" s="128" t="s">
        <v>13</v>
      </c>
      <c r="Q413" s="128">
        <v>1</v>
      </c>
      <c r="R413" s="128">
        <v>1</v>
      </c>
      <c r="S413" s="129">
        <v>0</v>
      </c>
      <c r="T413" s="129">
        <v>2500</v>
      </c>
      <c r="U413" s="129">
        <v>0</v>
      </c>
      <c r="V413" s="130">
        <v>100121</v>
      </c>
      <c r="W413" s="128">
        <v>0</v>
      </c>
      <c r="X413" s="128">
        <v>5</v>
      </c>
      <c r="Y413" s="131" t="str">
        <f ca="1">IF(ISBLANK(BudgetsTable[[#This Row],[budg_seq_yr]]),"FY"&amp;fiscalyear,"FY"&amp;fiscalyear-1+BudgetsTable[[#This Row],[budg_seq_yr]])</f>
        <v>FY22</v>
      </c>
      <c r="Z413" s="129">
        <v>100121</v>
      </c>
      <c r="AA413" s="128" t="s">
        <v>741</v>
      </c>
      <c r="AB413" s="128" t="s">
        <v>528</v>
      </c>
      <c r="AC413" s="126" t="s">
        <v>94</v>
      </c>
      <c r="AD413" s="128" t="s">
        <v>2365</v>
      </c>
    </row>
    <row r="414" spans="1:30">
      <c r="A414" s="125" t="s">
        <v>647</v>
      </c>
      <c r="B414" s="126" t="s">
        <v>96</v>
      </c>
      <c r="C414" s="126">
        <f>C413+(BudgetsTable[[#This Row],[lead]]&lt;&gt;K413)</f>
        <v>84</v>
      </c>
      <c r="D414" s="126">
        <f>D413*(BudgetsTable[[#This Row],[lead]]=K413)+(BudgetsTable[[#This Row],[prop_id]]&lt;&gt;A413)</f>
        <v>1</v>
      </c>
      <c r="E414" s="127">
        <v>42934.737500000003</v>
      </c>
      <c r="F414" s="128" t="s">
        <v>242</v>
      </c>
      <c r="G414" s="128" t="s">
        <v>741</v>
      </c>
      <c r="H414" s="128" t="s">
        <v>528</v>
      </c>
      <c r="I414" s="126" t="s">
        <v>543</v>
      </c>
      <c r="J414" s="126" t="s">
        <v>783</v>
      </c>
      <c r="K414" s="128" t="s">
        <v>647</v>
      </c>
      <c r="L414" s="7" t="str">
        <f>IF(BudgetsTable[[#This Row],[pi_last_name]]=" ","",HYPERLINK("https://www.ejacket.nsf.gov/ej/showProposal.do?Continue=Y&amp;ID="&amp;BudgetsTable[[#This Row],[prop_id]],BudgetsTable[[#This Row],[prop_id]]))</f>
        <v>1750039</v>
      </c>
      <c r="M414" s="15" t="str">
        <f>IF(BudgetsTable[[#This Row],[pi_last_name]]=" ","",HYPERLINK("https://www.ejacket.nsf.gov/ej/processReviewAnalysis.do?dispatch=add&amp;uniqId="&amp;BudgetsTable[[#This Row],[prop_id]]&amp;PO_id,"&gt;ra"))</f>
        <v>&gt;ra</v>
      </c>
      <c r="N414" s="128" t="s">
        <v>648</v>
      </c>
      <c r="O414" s="7" t="str">
        <f>IF(BudgetsTable[[#This Row],[pi_last_name]]=" ","",HYPERLINK("mailto:"&amp;BudgetsTable[[#This Row],[pi_email]]&amp;"&amp;subject=Your NSF Proposal:  "&amp;BudgetsTable[[#This Row],[prop_id]],BudgetsTable[[#This Row],[pi_email]]))</f>
        <v>solomon2@illinois.edu</v>
      </c>
      <c r="P414" s="128" t="s">
        <v>339</v>
      </c>
      <c r="Q414" s="128"/>
      <c r="R414" s="128"/>
      <c r="S414" s="129"/>
      <c r="T414" s="129"/>
      <c r="U414" s="129"/>
      <c r="V414" s="130"/>
      <c r="W414" s="128">
        <v>0</v>
      </c>
      <c r="X414" s="128"/>
      <c r="Y414" s="131" t="str">
        <f ca="1">IF(ISBLANK(BudgetsTable[[#This Row],[budg_seq_yr]]),"FY"&amp;fiscalyear,"FY"&amp;fiscalyear-1+BudgetsTable[[#This Row],[budg_seq_yr]])</f>
        <v>FY18</v>
      </c>
      <c r="Z414" s="129">
        <v>524117</v>
      </c>
      <c r="AA414" s="128" t="s">
        <v>741</v>
      </c>
      <c r="AB414" s="128" t="s">
        <v>528</v>
      </c>
      <c r="AC414" s="126" t="s">
        <v>94</v>
      </c>
      <c r="AD414" s="128" t="s">
        <v>779</v>
      </c>
    </row>
    <row r="415" spans="1:30">
      <c r="A415" s="125" t="s">
        <v>647</v>
      </c>
      <c r="B415" s="126" t="s">
        <v>96</v>
      </c>
      <c r="C415" s="126">
        <f>C414+(BudgetsTable[[#This Row],[lead]]&lt;&gt;K414)</f>
        <v>84</v>
      </c>
      <c r="D415" s="126">
        <f>D414*(BudgetsTable[[#This Row],[lead]]=K414)+(BudgetsTable[[#This Row],[prop_id]]&lt;&gt;A414)</f>
        <v>1</v>
      </c>
      <c r="E415" s="127">
        <v>42934.737500000003</v>
      </c>
      <c r="F415" s="128" t="s">
        <v>242</v>
      </c>
      <c r="G415" s="128" t="s">
        <v>741</v>
      </c>
      <c r="H415" s="128" t="s">
        <v>528</v>
      </c>
      <c r="I415" s="126" t="s">
        <v>543</v>
      </c>
      <c r="J415" s="126" t="s">
        <v>13</v>
      </c>
      <c r="K415" s="128" t="s">
        <v>647</v>
      </c>
      <c r="L415" s="7" t="str">
        <f>IF(BudgetsTable[[#This Row],[pi_last_name]]=" ","",HYPERLINK("https://www.ejacket.nsf.gov/ej/showProposal.do?Continue=Y&amp;ID="&amp;BudgetsTable[[#This Row],[prop_id]],BudgetsTable[[#This Row],[prop_id]]))</f>
        <v/>
      </c>
      <c r="M415" s="15" t="str">
        <f>IF(BudgetsTable[[#This Row],[pi_last_name]]=" ","",HYPERLINK("https://www.ejacket.nsf.gov/ej/processReviewAnalysis.do?dispatch=add&amp;uniqId="&amp;BudgetsTable[[#This Row],[prop_id]]&amp;PO_id,"&gt;ra"))</f>
        <v/>
      </c>
      <c r="N415" s="128" t="s">
        <v>13</v>
      </c>
      <c r="O415" s="7" t="str">
        <f>IF(BudgetsTable[[#This Row],[pi_last_name]]=" ","",HYPERLINK("mailto:"&amp;BudgetsTable[[#This Row],[pi_email]]&amp;"&amp;subject=Your NSF Proposal:  "&amp;BudgetsTable[[#This Row],[prop_id]],BudgetsTable[[#This Row],[pi_email]]))</f>
        <v/>
      </c>
      <c r="P415" s="128" t="s">
        <v>13</v>
      </c>
      <c r="Q415" s="128">
        <v>1</v>
      </c>
      <c r="R415" s="128">
        <v>0.5</v>
      </c>
      <c r="S415" s="129">
        <v>0</v>
      </c>
      <c r="T415" s="129">
        <v>2250</v>
      </c>
      <c r="U415" s="129">
        <v>0</v>
      </c>
      <c r="V415" s="130">
        <v>100718</v>
      </c>
      <c r="W415" s="128">
        <v>0</v>
      </c>
      <c r="X415" s="128">
        <v>1</v>
      </c>
      <c r="Y415" s="131" t="str">
        <f ca="1">IF(ISBLANK(BudgetsTable[[#This Row],[budg_seq_yr]]),"FY"&amp;fiscalyear,"FY"&amp;fiscalyear-1+BudgetsTable[[#This Row],[budg_seq_yr]])</f>
        <v>FY18</v>
      </c>
      <c r="Z415" s="129">
        <v>100718</v>
      </c>
      <c r="AA415" s="128" t="s">
        <v>741</v>
      </c>
      <c r="AB415" s="128" t="s">
        <v>528</v>
      </c>
      <c r="AC415" s="126" t="s">
        <v>94</v>
      </c>
      <c r="AD415" s="128" t="s">
        <v>779</v>
      </c>
    </row>
    <row r="416" spans="1:30">
      <c r="A416" s="125" t="s">
        <v>647</v>
      </c>
      <c r="B416" s="126" t="s">
        <v>96</v>
      </c>
      <c r="C416" s="126">
        <f>C415+(BudgetsTable[[#This Row],[lead]]&lt;&gt;K415)</f>
        <v>84</v>
      </c>
      <c r="D416" s="126">
        <f>D415*(BudgetsTable[[#This Row],[lead]]=K415)+(BudgetsTable[[#This Row],[prop_id]]&lt;&gt;A415)</f>
        <v>1</v>
      </c>
      <c r="E416" s="127">
        <v>42934.737500000003</v>
      </c>
      <c r="F416" s="128" t="s">
        <v>242</v>
      </c>
      <c r="G416" s="128" t="s">
        <v>741</v>
      </c>
      <c r="H416" s="128" t="s">
        <v>528</v>
      </c>
      <c r="I416" s="126" t="s">
        <v>543</v>
      </c>
      <c r="J416" s="126" t="s">
        <v>13</v>
      </c>
      <c r="K416" s="128" t="s">
        <v>647</v>
      </c>
      <c r="L416" s="7" t="str">
        <f>IF(BudgetsTable[[#This Row],[pi_last_name]]=" ","",HYPERLINK("https://www.ejacket.nsf.gov/ej/showProposal.do?Continue=Y&amp;ID="&amp;BudgetsTable[[#This Row],[prop_id]],BudgetsTable[[#This Row],[prop_id]]))</f>
        <v/>
      </c>
      <c r="M416" s="15" t="str">
        <f>IF(BudgetsTable[[#This Row],[pi_last_name]]=" ","",HYPERLINK("https://www.ejacket.nsf.gov/ej/processReviewAnalysis.do?dispatch=add&amp;uniqId="&amp;BudgetsTable[[#This Row],[prop_id]]&amp;PO_id,"&gt;ra"))</f>
        <v/>
      </c>
      <c r="N416" s="128" t="s">
        <v>13</v>
      </c>
      <c r="O416" s="7" t="str">
        <f>IF(BudgetsTable[[#This Row],[pi_last_name]]=" ","",HYPERLINK("mailto:"&amp;BudgetsTable[[#This Row],[pi_email]]&amp;"&amp;subject=Your NSF Proposal:  "&amp;BudgetsTable[[#This Row],[prop_id]],BudgetsTable[[#This Row],[pi_email]]))</f>
        <v/>
      </c>
      <c r="P416" s="128" t="s">
        <v>13</v>
      </c>
      <c r="Q416" s="128">
        <v>1</v>
      </c>
      <c r="R416" s="128">
        <v>0.5</v>
      </c>
      <c r="S416" s="129">
        <v>0</v>
      </c>
      <c r="T416" s="129">
        <v>2250</v>
      </c>
      <c r="U416" s="129">
        <v>0</v>
      </c>
      <c r="V416" s="130">
        <v>101222</v>
      </c>
      <c r="W416" s="128">
        <v>0</v>
      </c>
      <c r="X416" s="128">
        <v>2</v>
      </c>
      <c r="Y416" s="131" t="str">
        <f ca="1">IF(ISBLANK(BudgetsTable[[#This Row],[budg_seq_yr]]),"FY"&amp;fiscalyear,"FY"&amp;fiscalyear-1+BudgetsTable[[#This Row],[budg_seq_yr]])</f>
        <v>FY19</v>
      </c>
      <c r="Z416" s="129">
        <v>101222</v>
      </c>
      <c r="AA416" s="128" t="s">
        <v>741</v>
      </c>
      <c r="AB416" s="128" t="s">
        <v>528</v>
      </c>
      <c r="AC416" s="126" t="s">
        <v>94</v>
      </c>
      <c r="AD416" s="128" t="s">
        <v>779</v>
      </c>
    </row>
    <row r="417" spans="1:30">
      <c r="A417" s="125" t="s">
        <v>647</v>
      </c>
      <c r="B417" s="126" t="s">
        <v>96</v>
      </c>
      <c r="C417" s="126">
        <f>C416+(BudgetsTable[[#This Row],[lead]]&lt;&gt;K416)</f>
        <v>84</v>
      </c>
      <c r="D417" s="126">
        <f>D416*(BudgetsTable[[#This Row],[lead]]=K416)+(BudgetsTable[[#This Row],[prop_id]]&lt;&gt;A416)</f>
        <v>1</v>
      </c>
      <c r="E417" s="127">
        <v>42934.737500000003</v>
      </c>
      <c r="F417" s="128" t="s">
        <v>242</v>
      </c>
      <c r="G417" s="128" t="s">
        <v>741</v>
      </c>
      <c r="H417" s="128" t="s">
        <v>528</v>
      </c>
      <c r="I417" s="126" t="s">
        <v>543</v>
      </c>
      <c r="J417" s="126" t="s">
        <v>13</v>
      </c>
      <c r="K417" s="128" t="s">
        <v>647</v>
      </c>
      <c r="L417" s="7" t="str">
        <f>IF(BudgetsTable[[#This Row],[pi_last_name]]=" ","",HYPERLINK("https://www.ejacket.nsf.gov/ej/showProposal.do?Continue=Y&amp;ID="&amp;BudgetsTable[[#This Row],[prop_id]],BudgetsTable[[#This Row],[prop_id]]))</f>
        <v/>
      </c>
      <c r="M417" s="15" t="str">
        <f>IF(BudgetsTable[[#This Row],[pi_last_name]]=" ","",HYPERLINK("https://www.ejacket.nsf.gov/ej/processReviewAnalysis.do?dispatch=add&amp;uniqId="&amp;BudgetsTable[[#This Row],[prop_id]]&amp;PO_id,"&gt;ra"))</f>
        <v/>
      </c>
      <c r="N417" s="128" t="s">
        <v>13</v>
      </c>
      <c r="O417" s="7" t="str">
        <f>IF(BudgetsTable[[#This Row],[pi_last_name]]=" ","",HYPERLINK("mailto:"&amp;BudgetsTable[[#This Row],[pi_email]]&amp;"&amp;subject=Your NSF Proposal:  "&amp;BudgetsTable[[#This Row],[prop_id]],BudgetsTable[[#This Row],[pi_email]]))</f>
        <v/>
      </c>
      <c r="P417" s="128" t="s">
        <v>13</v>
      </c>
      <c r="Q417" s="128">
        <v>1</v>
      </c>
      <c r="R417" s="128">
        <v>0.5</v>
      </c>
      <c r="S417" s="129">
        <v>0</v>
      </c>
      <c r="T417" s="129">
        <v>2250</v>
      </c>
      <c r="U417" s="129">
        <v>0</v>
      </c>
      <c r="V417" s="130">
        <v>104224</v>
      </c>
      <c r="W417" s="128">
        <v>0</v>
      </c>
      <c r="X417" s="128">
        <v>3</v>
      </c>
      <c r="Y417" s="131" t="str">
        <f ca="1">IF(ISBLANK(BudgetsTable[[#This Row],[budg_seq_yr]]),"FY"&amp;fiscalyear,"FY"&amp;fiscalyear-1+BudgetsTable[[#This Row],[budg_seq_yr]])</f>
        <v>FY20</v>
      </c>
      <c r="Z417" s="129">
        <v>104224</v>
      </c>
      <c r="AA417" s="128" t="s">
        <v>741</v>
      </c>
      <c r="AB417" s="128" t="s">
        <v>528</v>
      </c>
      <c r="AC417" s="126" t="s">
        <v>94</v>
      </c>
      <c r="AD417" s="128" t="s">
        <v>779</v>
      </c>
    </row>
    <row r="418" spans="1:30">
      <c r="A418" s="125" t="s">
        <v>647</v>
      </c>
      <c r="B418" s="126" t="s">
        <v>96</v>
      </c>
      <c r="C418" s="126">
        <f>C417+(BudgetsTable[[#This Row],[lead]]&lt;&gt;K417)</f>
        <v>84</v>
      </c>
      <c r="D418" s="126">
        <f>D417*(BudgetsTable[[#This Row],[lead]]=K417)+(BudgetsTable[[#This Row],[prop_id]]&lt;&gt;A417)</f>
        <v>1</v>
      </c>
      <c r="E418" s="127">
        <v>42934.737500000003</v>
      </c>
      <c r="F418" s="128" t="s">
        <v>242</v>
      </c>
      <c r="G418" s="128" t="s">
        <v>741</v>
      </c>
      <c r="H418" s="128" t="s">
        <v>528</v>
      </c>
      <c r="I418" s="126" t="s">
        <v>543</v>
      </c>
      <c r="J418" s="126" t="s">
        <v>13</v>
      </c>
      <c r="K418" s="128" t="s">
        <v>647</v>
      </c>
      <c r="L418" s="7" t="str">
        <f>IF(BudgetsTable[[#This Row],[pi_last_name]]=" ","",HYPERLINK("https://www.ejacket.nsf.gov/ej/showProposal.do?Continue=Y&amp;ID="&amp;BudgetsTable[[#This Row],[prop_id]],BudgetsTable[[#This Row],[prop_id]]))</f>
        <v/>
      </c>
      <c r="M418" s="15" t="str">
        <f>IF(BudgetsTable[[#This Row],[pi_last_name]]=" ","",HYPERLINK("https://www.ejacket.nsf.gov/ej/processReviewAnalysis.do?dispatch=add&amp;uniqId="&amp;BudgetsTable[[#This Row],[prop_id]]&amp;PO_id,"&gt;ra"))</f>
        <v/>
      </c>
      <c r="N418" s="128" t="s">
        <v>13</v>
      </c>
      <c r="O418" s="7" t="str">
        <f>IF(BudgetsTable[[#This Row],[pi_last_name]]=" ","",HYPERLINK("mailto:"&amp;BudgetsTable[[#This Row],[pi_email]]&amp;"&amp;subject=Your NSF Proposal:  "&amp;BudgetsTable[[#This Row],[prop_id]],BudgetsTable[[#This Row],[pi_email]]))</f>
        <v/>
      </c>
      <c r="P418" s="128" t="s">
        <v>13</v>
      </c>
      <c r="Q418" s="128">
        <v>1</v>
      </c>
      <c r="R418" s="128">
        <v>0.5</v>
      </c>
      <c r="S418" s="129">
        <v>0</v>
      </c>
      <c r="T418" s="129">
        <v>2250</v>
      </c>
      <c r="U418" s="129">
        <v>0</v>
      </c>
      <c r="V418" s="130">
        <v>107350</v>
      </c>
      <c r="W418" s="128">
        <v>0</v>
      </c>
      <c r="X418" s="128">
        <v>4</v>
      </c>
      <c r="Y418" s="131" t="str">
        <f ca="1">IF(ISBLANK(BudgetsTable[[#This Row],[budg_seq_yr]]),"FY"&amp;fiscalyear,"FY"&amp;fiscalyear-1+BudgetsTable[[#This Row],[budg_seq_yr]])</f>
        <v>FY21</v>
      </c>
      <c r="Z418" s="129">
        <v>107350</v>
      </c>
      <c r="AA418" s="128" t="s">
        <v>741</v>
      </c>
      <c r="AB418" s="128" t="s">
        <v>528</v>
      </c>
      <c r="AC418" s="126" t="s">
        <v>94</v>
      </c>
      <c r="AD418" s="128" t="s">
        <v>779</v>
      </c>
    </row>
    <row r="419" spans="1:30">
      <c r="A419" s="125" t="s">
        <v>647</v>
      </c>
      <c r="B419" s="126" t="s">
        <v>96</v>
      </c>
      <c r="C419" s="126">
        <f>C418+(BudgetsTable[[#This Row],[lead]]&lt;&gt;K418)</f>
        <v>84</v>
      </c>
      <c r="D419" s="126">
        <f>D418*(BudgetsTable[[#This Row],[lead]]=K418)+(BudgetsTable[[#This Row],[prop_id]]&lt;&gt;A418)</f>
        <v>1</v>
      </c>
      <c r="E419" s="127">
        <v>42934.737500000003</v>
      </c>
      <c r="F419" s="128" t="s">
        <v>242</v>
      </c>
      <c r="G419" s="128" t="s">
        <v>741</v>
      </c>
      <c r="H419" s="128" t="s">
        <v>528</v>
      </c>
      <c r="I419" s="126" t="s">
        <v>543</v>
      </c>
      <c r="J419" s="126" t="s">
        <v>13</v>
      </c>
      <c r="K419" s="128" t="s">
        <v>647</v>
      </c>
      <c r="L419" s="7" t="str">
        <f>IF(BudgetsTable[[#This Row],[pi_last_name]]=" ","",HYPERLINK("https://www.ejacket.nsf.gov/ej/showProposal.do?Continue=Y&amp;ID="&amp;BudgetsTable[[#This Row],[prop_id]],BudgetsTable[[#This Row],[prop_id]]))</f>
        <v/>
      </c>
      <c r="M419" s="15" t="str">
        <f>IF(BudgetsTable[[#This Row],[pi_last_name]]=" ","",HYPERLINK("https://www.ejacket.nsf.gov/ej/processReviewAnalysis.do?dispatch=add&amp;uniqId="&amp;BudgetsTable[[#This Row],[prop_id]]&amp;PO_id,"&gt;ra"))</f>
        <v/>
      </c>
      <c r="N419" s="128" t="s">
        <v>13</v>
      </c>
      <c r="O419" s="7" t="str">
        <f>IF(BudgetsTable[[#This Row],[pi_last_name]]=" ","",HYPERLINK("mailto:"&amp;BudgetsTable[[#This Row],[pi_email]]&amp;"&amp;subject=Your NSF Proposal:  "&amp;BudgetsTable[[#This Row],[prop_id]],BudgetsTable[[#This Row],[pi_email]]))</f>
        <v/>
      </c>
      <c r="P419" s="128" t="s">
        <v>13</v>
      </c>
      <c r="Q419" s="128">
        <v>1</v>
      </c>
      <c r="R419" s="128">
        <v>0.5</v>
      </c>
      <c r="S419" s="129">
        <v>0</v>
      </c>
      <c r="T419" s="129">
        <v>2250</v>
      </c>
      <c r="U419" s="129">
        <v>0</v>
      </c>
      <c r="V419" s="130">
        <v>110603</v>
      </c>
      <c r="W419" s="128">
        <v>0</v>
      </c>
      <c r="X419" s="128">
        <v>5</v>
      </c>
      <c r="Y419" s="131" t="str">
        <f ca="1">IF(ISBLANK(BudgetsTable[[#This Row],[budg_seq_yr]]),"FY"&amp;fiscalyear,"FY"&amp;fiscalyear-1+BudgetsTable[[#This Row],[budg_seq_yr]])</f>
        <v>FY22</v>
      </c>
      <c r="Z419" s="129">
        <v>110603</v>
      </c>
      <c r="AA419" s="128" t="s">
        <v>741</v>
      </c>
      <c r="AB419" s="128" t="s">
        <v>528</v>
      </c>
      <c r="AC419" s="126" t="s">
        <v>94</v>
      </c>
      <c r="AD419" s="128" t="s">
        <v>779</v>
      </c>
    </row>
    <row r="420" spans="1:30">
      <c r="A420" s="125" t="s">
        <v>1571</v>
      </c>
      <c r="B420" s="126" t="s">
        <v>96</v>
      </c>
      <c r="C420" s="126">
        <f>C419+(BudgetsTable[[#This Row],[lead]]&lt;&gt;K419)</f>
        <v>85</v>
      </c>
      <c r="D420" s="126">
        <f>D419*(BudgetsTable[[#This Row],[lead]]=K419)+(BudgetsTable[[#This Row],[prop_id]]&lt;&gt;A419)</f>
        <v>1</v>
      </c>
      <c r="E420" s="127">
        <v>42934.806944444441</v>
      </c>
      <c r="F420" s="128" t="s">
        <v>242</v>
      </c>
      <c r="G420" s="128" t="s">
        <v>741</v>
      </c>
      <c r="H420" s="128" t="s">
        <v>528</v>
      </c>
      <c r="I420" s="126" t="s">
        <v>1530</v>
      </c>
      <c r="J420" s="126" t="s">
        <v>2376</v>
      </c>
      <c r="K420" s="128" t="s">
        <v>1571</v>
      </c>
      <c r="L420" s="7" t="str">
        <f>IF(BudgetsTable[[#This Row],[pi_last_name]]=" ","",HYPERLINK("https://www.ejacket.nsf.gov/ej/showProposal.do?Continue=Y&amp;ID="&amp;BudgetsTable[[#This Row],[prop_id]],BudgetsTable[[#This Row],[prop_id]]))</f>
        <v>1750075</v>
      </c>
      <c r="M420" s="15" t="str">
        <f>IF(BudgetsTable[[#This Row],[pi_last_name]]=" ","",HYPERLINK("https://www.ejacket.nsf.gov/ej/processReviewAnalysis.do?dispatch=add&amp;uniqId="&amp;BudgetsTable[[#This Row],[prop_id]]&amp;PO_id,"&gt;ra"))</f>
        <v>&gt;ra</v>
      </c>
      <c r="N420" s="128" t="s">
        <v>1572</v>
      </c>
      <c r="O420" s="7" t="str">
        <f>IF(BudgetsTable[[#This Row],[pi_last_name]]=" ","",HYPERLINK("mailto:"&amp;BudgetsTable[[#This Row],[pi_email]]&amp;"&amp;subject=Your NSF Proposal:  "&amp;BudgetsTable[[#This Row],[prop_id]],BudgetsTable[[#This Row],[pi_email]]))</f>
        <v>razaviya@usc.edu</v>
      </c>
      <c r="P420" s="128" t="s">
        <v>2373</v>
      </c>
      <c r="Q420" s="128"/>
      <c r="R420" s="128"/>
      <c r="S420" s="129"/>
      <c r="T420" s="129"/>
      <c r="U420" s="129"/>
      <c r="V420" s="130"/>
      <c r="W420" s="128">
        <v>0</v>
      </c>
      <c r="X420" s="128"/>
      <c r="Y420" s="131" t="str">
        <f ca="1">IF(ISBLANK(BudgetsTable[[#This Row],[budg_seq_yr]]),"FY"&amp;fiscalyear,"FY"&amp;fiscalyear-1+BudgetsTable[[#This Row],[budg_seq_yr]])</f>
        <v>FY18</v>
      </c>
      <c r="Z420" s="129">
        <v>539673</v>
      </c>
      <c r="AA420" s="128" t="s">
        <v>741</v>
      </c>
      <c r="AB420" s="128" t="s">
        <v>528</v>
      </c>
      <c r="AC420" s="126" t="s">
        <v>94</v>
      </c>
      <c r="AD420" s="128" t="s">
        <v>744</v>
      </c>
    </row>
    <row r="421" spans="1:30">
      <c r="A421" s="125" t="s">
        <v>1571</v>
      </c>
      <c r="B421" s="126" t="s">
        <v>96</v>
      </c>
      <c r="C421" s="126">
        <f>C420+(BudgetsTable[[#This Row],[lead]]&lt;&gt;K420)</f>
        <v>85</v>
      </c>
      <c r="D421" s="126">
        <f>D420*(BudgetsTable[[#This Row],[lead]]=K420)+(BudgetsTable[[#This Row],[prop_id]]&lt;&gt;A420)</f>
        <v>1</v>
      </c>
      <c r="E421" s="127">
        <v>42934.806944444441</v>
      </c>
      <c r="F421" s="128" t="s">
        <v>242</v>
      </c>
      <c r="G421" s="128" t="s">
        <v>741</v>
      </c>
      <c r="H421" s="128" t="s">
        <v>528</v>
      </c>
      <c r="I421" s="126" t="s">
        <v>1530</v>
      </c>
      <c r="J421" s="126" t="s">
        <v>13</v>
      </c>
      <c r="K421" s="128" t="s">
        <v>1571</v>
      </c>
      <c r="L421" s="7" t="str">
        <f>IF(BudgetsTable[[#This Row],[pi_last_name]]=" ","",HYPERLINK("https://www.ejacket.nsf.gov/ej/showProposal.do?Continue=Y&amp;ID="&amp;BudgetsTable[[#This Row],[prop_id]],BudgetsTable[[#This Row],[prop_id]]))</f>
        <v/>
      </c>
      <c r="M421" s="15" t="str">
        <f>IF(BudgetsTable[[#This Row],[pi_last_name]]=" ","",HYPERLINK("https://www.ejacket.nsf.gov/ej/processReviewAnalysis.do?dispatch=add&amp;uniqId="&amp;BudgetsTable[[#This Row],[prop_id]]&amp;PO_id,"&gt;ra"))</f>
        <v/>
      </c>
      <c r="N421" s="128" t="s">
        <v>13</v>
      </c>
      <c r="O421" s="7" t="str">
        <f>IF(BudgetsTable[[#This Row],[pi_last_name]]=" ","",HYPERLINK("mailto:"&amp;BudgetsTable[[#This Row],[pi_email]]&amp;"&amp;subject=Your NSF Proposal:  "&amp;BudgetsTable[[#This Row],[prop_id]],BudgetsTable[[#This Row],[pi_email]]))</f>
        <v/>
      </c>
      <c r="P421" s="128" t="s">
        <v>13</v>
      </c>
      <c r="Q421" s="128">
        <v>1</v>
      </c>
      <c r="R421" s="128">
        <v>1</v>
      </c>
      <c r="S421" s="129">
        <v>0</v>
      </c>
      <c r="T421" s="129">
        <v>0</v>
      </c>
      <c r="U421" s="129">
        <v>6500</v>
      </c>
      <c r="V421" s="130">
        <v>104372</v>
      </c>
      <c r="W421" s="128">
        <v>0</v>
      </c>
      <c r="X421" s="128">
        <v>1</v>
      </c>
      <c r="Y421" s="131" t="str">
        <f ca="1">IF(ISBLANK(BudgetsTable[[#This Row],[budg_seq_yr]]),"FY"&amp;fiscalyear,"FY"&amp;fiscalyear-1+BudgetsTable[[#This Row],[budg_seq_yr]])</f>
        <v>FY18</v>
      </c>
      <c r="Z421" s="129">
        <v>104372</v>
      </c>
      <c r="AA421" s="128" t="s">
        <v>741</v>
      </c>
      <c r="AB421" s="128" t="s">
        <v>528</v>
      </c>
      <c r="AC421" s="126" t="s">
        <v>94</v>
      </c>
      <c r="AD421" s="128" t="s">
        <v>744</v>
      </c>
    </row>
    <row r="422" spans="1:30">
      <c r="A422" s="125" t="s">
        <v>1571</v>
      </c>
      <c r="B422" s="126" t="s">
        <v>96</v>
      </c>
      <c r="C422" s="126">
        <f>C421+(BudgetsTable[[#This Row],[lead]]&lt;&gt;K421)</f>
        <v>85</v>
      </c>
      <c r="D422" s="126">
        <f>D421*(BudgetsTable[[#This Row],[lead]]=K421)+(BudgetsTable[[#This Row],[prop_id]]&lt;&gt;A421)</f>
        <v>1</v>
      </c>
      <c r="E422" s="127">
        <v>42934.806944444441</v>
      </c>
      <c r="F422" s="128" t="s">
        <v>242</v>
      </c>
      <c r="G422" s="128" t="s">
        <v>741</v>
      </c>
      <c r="H422" s="128" t="s">
        <v>528</v>
      </c>
      <c r="I422" s="126" t="s">
        <v>1530</v>
      </c>
      <c r="J422" s="126" t="s">
        <v>13</v>
      </c>
      <c r="K422" s="128" t="s">
        <v>1571</v>
      </c>
      <c r="L422" s="7" t="str">
        <f>IF(BudgetsTable[[#This Row],[pi_last_name]]=" ","",HYPERLINK("https://www.ejacket.nsf.gov/ej/showProposal.do?Continue=Y&amp;ID="&amp;BudgetsTable[[#This Row],[prop_id]],BudgetsTable[[#This Row],[prop_id]]))</f>
        <v/>
      </c>
      <c r="M422" s="15" t="str">
        <f>IF(BudgetsTable[[#This Row],[pi_last_name]]=" ","",HYPERLINK("https://www.ejacket.nsf.gov/ej/processReviewAnalysis.do?dispatch=add&amp;uniqId="&amp;BudgetsTable[[#This Row],[prop_id]]&amp;PO_id,"&gt;ra"))</f>
        <v/>
      </c>
      <c r="N422" s="128" t="s">
        <v>13</v>
      </c>
      <c r="O422" s="7" t="str">
        <f>IF(BudgetsTable[[#This Row],[pi_last_name]]=" ","",HYPERLINK("mailto:"&amp;BudgetsTable[[#This Row],[pi_email]]&amp;"&amp;subject=Your NSF Proposal:  "&amp;BudgetsTable[[#This Row],[prop_id]],BudgetsTable[[#This Row],[pi_email]]))</f>
        <v/>
      </c>
      <c r="P422" s="128" t="s">
        <v>13</v>
      </c>
      <c r="Q422" s="128">
        <v>1</v>
      </c>
      <c r="R422" s="128">
        <v>1</v>
      </c>
      <c r="S422" s="129">
        <v>0</v>
      </c>
      <c r="T422" s="129">
        <v>0</v>
      </c>
      <c r="U422" s="129">
        <v>0</v>
      </c>
      <c r="V422" s="130">
        <v>101457</v>
      </c>
      <c r="W422" s="128">
        <v>0</v>
      </c>
      <c r="X422" s="128">
        <v>2</v>
      </c>
      <c r="Y422" s="131" t="str">
        <f ca="1">IF(ISBLANK(BudgetsTable[[#This Row],[budg_seq_yr]]),"FY"&amp;fiscalyear,"FY"&amp;fiscalyear-1+BudgetsTable[[#This Row],[budg_seq_yr]])</f>
        <v>FY19</v>
      </c>
      <c r="Z422" s="129">
        <v>101457</v>
      </c>
      <c r="AA422" s="128" t="s">
        <v>741</v>
      </c>
      <c r="AB422" s="128" t="s">
        <v>528</v>
      </c>
      <c r="AC422" s="126" t="s">
        <v>94</v>
      </c>
      <c r="AD422" s="128" t="s">
        <v>744</v>
      </c>
    </row>
    <row r="423" spans="1:30">
      <c r="A423" s="125" t="s">
        <v>1571</v>
      </c>
      <c r="B423" s="126" t="s">
        <v>96</v>
      </c>
      <c r="C423" s="126">
        <f>C422+(BudgetsTable[[#This Row],[lead]]&lt;&gt;K422)</f>
        <v>85</v>
      </c>
      <c r="D423" s="126">
        <f>D422*(BudgetsTable[[#This Row],[lead]]=K422)+(BudgetsTable[[#This Row],[prop_id]]&lt;&gt;A422)</f>
        <v>1</v>
      </c>
      <c r="E423" s="127">
        <v>42934.806944444441</v>
      </c>
      <c r="F423" s="128" t="s">
        <v>242</v>
      </c>
      <c r="G423" s="128" t="s">
        <v>741</v>
      </c>
      <c r="H423" s="128" t="s">
        <v>528</v>
      </c>
      <c r="I423" s="126" t="s">
        <v>1530</v>
      </c>
      <c r="J423" s="126" t="s">
        <v>13</v>
      </c>
      <c r="K423" s="128" t="s">
        <v>1571</v>
      </c>
      <c r="L423" s="7" t="str">
        <f>IF(BudgetsTable[[#This Row],[pi_last_name]]=" ","",HYPERLINK("https://www.ejacket.nsf.gov/ej/showProposal.do?Continue=Y&amp;ID="&amp;BudgetsTable[[#This Row],[prop_id]],BudgetsTable[[#This Row],[prop_id]]))</f>
        <v/>
      </c>
      <c r="M423" s="15" t="str">
        <f>IF(BudgetsTable[[#This Row],[pi_last_name]]=" ","",HYPERLINK("https://www.ejacket.nsf.gov/ej/processReviewAnalysis.do?dispatch=add&amp;uniqId="&amp;BudgetsTable[[#This Row],[prop_id]]&amp;PO_id,"&gt;ra"))</f>
        <v/>
      </c>
      <c r="N423" s="128" t="s">
        <v>13</v>
      </c>
      <c r="O423" s="7" t="str">
        <f>IF(BudgetsTable[[#This Row],[pi_last_name]]=" ","",HYPERLINK("mailto:"&amp;BudgetsTable[[#This Row],[pi_email]]&amp;"&amp;subject=Your NSF Proposal:  "&amp;BudgetsTable[[#This Row],[prop_id]],BudgetsTable[[#This Row],[pi_email]]))</f>
        <v/>
      </c>
      <c r="P423" s="128" t="s">
        <v>13</v>
      </c>
      <c r="Q423" s="128">
        <v>1</v>
      </c>
      <c r="R423" s="128">
        <v>1</v>
      </c>
      <c r="S423" s="129">
        <v>0</v>
      </c>
      <c r="T423" s="129">
        <v>0</v>
      </c>
      <c r="U423" s="129">
        <v>6500</v>
      </c>
      <c r="V423" s="130">
        <v>111685</v>
      </c>
      <c r="W423" s="128">
        <v>0</v>
      </c>
      <c r="X423" s="128">
        <v>3</v>
      </c>
      <c r="Y423" s="131" t="str">
        <f ca="1">IF(ISBLANK(BudgetsTable[[#This Row],[budg_seq_yr]]),"FY"&amp;fiscalyear,"FY"&amp;fiscalyear-1+BudgetsTable[[#This Row],[budg_seq_yr]])</f>
        <v>FY20</v>
      </c>
      <c r="Z423" s="129">
        <v>111685</v>
      </c>
      <c r="AA423" s="128" t="s">
        <v>741</v>
      </c>
      <c r="AB423" s="128" t="s">
        <v>528</v>
      </c>
      <c r="AC423" s="126" t="s">
        <v>94</v>
      </c>
      <c r="AD423" s="128" t="s">
        <v>744</v>
      </c>
    </row>
    <row r="424" spans="1:30">
      <c r="A424" s="125" t="s">
        <v>1571</v>
      </c>
      <c r="B424" s="126" t="s">
        <v>96</v>
      </c>
      <c r="C424" s="126">
        <f>C423+(BudgetsTable[[#This Row],[lead]]&lt;&gt;K423)</f>
        <v>85</v>
      </c>
      <c r="D424" s="126">
        <f>D423*(BudgetsTable[[#This Row],[lead]]=K423)+(BudgetsTable[[#This Row],[prop_id]]&lt;&gt;A423)</f>
        <v>1</v>
      </c>
      <c r="E424" s="127">
        <v>42934.806944444441</v>
      </c>
      <c r="F424" s="128" t="s">
        <v>242</v>
      </c>
      <c r="G424" s="128" t="s">
        <v>741</v>
      </c>
      <c r="H424" s="128" t="s">
        <v>528</v>
      </c>
      <c r="I424" s="126" t="s">
        <v>1530</v>
      </c>
      <c r="J424" s="126" t="s">
        <v>13</v>
      </c>
      <c r="K424" s="128" t="s">
        <v>1571</v>
      </c>
      <c r="L424" s="7" t="str">
        <f>IF(BudgetsTable[[#This Row],[pi_last_name]]=" ","",HYPERLINK("https://www.ejacket.nsf.gov/ej/showProposal.do?Continue=Y&amp;ID="&amp;BudgetsTable[[#This Row],[prop_id]],BudgetsTable[[#This Row],[prop_id]]))</f>
        <v/>
      </c>
      <c r="M424" s="15" t="str">
        <f>IF(BudgetsTable[[#This Row],[pi_last_name]]=" ","",HYPERLINK("https://www.ejacket.nsf.gov/ej/processReviewAnalysis.do?dispatch=add&amp;uniqId="&amp;BudgetsTable[[#This Row],[prop_id]]&amp;PO_id,"&gt;ra"))</f>
        <v/>
      </c>
      <c r="N424" s="128" t="s">
        <v>13</v>
      </c>
      <c r="O424" s="7" t="str">
        <f>IF(BudgetsTable[[#This Row],[pi_last_name]]=" ","",HYPERLINK("mailto:"&amp;BudgetsTable[[#This Row],[pi_email]]&amp;"&amp;subject=Your NSF Proposal:  "&amp;BudgetsTable[[#This Row],[prop_id]],BudgetsTable[[#This Row],[pi_email]]))</f>
        <v/>
      </c>
      <c r="P424" s="128" t="s">
        <v>13</v>
      </c>
      <c r="Q424" s="128">
        <v>1</v>
      </c>
      <c r="R424" s="128">
        <v>1</v>
      </c>
      <c r="S424" s="129">
        <v>0</v>
      </c>
      <c r="T424" s="129">
        <v>0</v>
      </c>
      <c r="U424" s="129">
        <v>0</v>
      </c>
      <c r="V424" s="130">
        <v>109063</v>
      </c>
      <c r="W424" s="128">
        <v>0</v>
      </c>
      <c r="X424" s="128">
        <v>4</v>
      </c>
      <c r="Y424" s="131" t="str">
        <f ca="1">IF(ISBLANK(BudgetsTable[[#This Row],[budg_seq_yr]]),"FY"&amp;fiscalyear,"FY"&amp;fiscalyear-1+BudgetsTable[[#This Row],[budg_seq_yr]])</f>
        <v>FY21</v>
      </c>
      <c r="Z424" s="129">
        <v>109063</v>
      </c>
      <c r="AA424" s="128" t="s">
        <v>741</v>
      </c>
      <c r="AB424" s="128" t="s">
        <v>528</v>
      </c>
      <c r="AC424" s="126" t="s">
        <v>94</v>
      </c>
      <c r="AD424" s="128" t="s">
        <v>744</v>
      </c>
    </row>
    <row r="425" spans="1:30">
      <c r="A425" s="125" t="s">
        <v>1571</v>
      </c>
      <c r="B425" s="126" t="s">
        <v>96</v>
      </c>
      <c r="C425" s="126">
        <f>C424+(BudgetsTable[[#This Row],[lead]]&lt;&gt;K424)</f>
        <v>85</v>
      </c>
      <c r="D425" s="126">
        <f>D424*(BudgetsTable[[#This Row],[lead]]=K424)+(BudgetsTable[[#This Row],[prop_id]]&lt;&gt;A424)</f>
        <v>1</v>
      </c>
      <c r="E425" s="127">
        <v>42934.806944444441</v>
      </c>
      <c r="F425" s="128" t="s">
        <v>242</v>
      </c>
      <c r="G425" s="128" t="s">
        <v>741</v>
      </c>
      <c r="H425" s="128" t="s">
        <v>528</v>
      </c>
      <c r="I425" s="126" t="s">
        <v>1530</v>
      </c>
      <c r="J425" s="126" t="s">
        <v>13</v>
      </c>
      <c r="K425" s="128" t="s">
        <v>1571</v>
      </c>
      <c r="L425" s="7" t="str">
        <f>IF(BudgetsTable[[#This Row],[pi_last_name]]=" ","",HYPERLINK("https://www.ejacket.nsf.gov/ej/showProposal.do?Continue=Y&amp;ID="&amp;BudgetsTable[[#This Row],[prop_id]],BudgetsTable[[#This Row],[prop_id]]))</f>
        <v/>
      </c>
      <c r="M425" s="15" t="str">
        <f>IF(BudgetsTable[[#This Row],[pi_last_name]]=" ","",HYPERLINK("https://www.ejacket.nsf.gov/ej/processReviewAnalysis.do?dispatch=add&amp;uniqId="&amp;BudgetsTable[[#This Row],[prop_id]]&amp;PO_id,"&gt;ra"))</f>
        <v/>
      </c>
      <c r="N425" s="128" t="s">
        <v>13</v>
      </c>
      <c r="O425" s="7" t="str">
        <f>IF(BudgetsTable[[#This Row],[pi_last_name]]=" ","",HYPERLINK("mailto:"&amp;BudgetsTable[[#This Row],[pi_email]]&amp;"&amp;subject=Your NSF Proposal:  "&amp;BudgetsTable[[#This Row],[prop_id]],BudgetsTable[[#This Row],[pi_email]]))</f>
        <v/>
      </c>
      <c r="P425" s="128" t="s">
        <v>13</v>
      </c>
      <c r="Q425" s="128">
        <v>1</v>
      </c>
      <c r="R425" s="128">
        <v>1</v>
      </c>
      <c r="S425" s="129">
        <v>0</v>
      </c>
      <c r="T425" s="129">
        <v>0</v>
      </c>
      <c r="U425" s="129">
        <v>0</v>
      </c>
      <c r="V425" s="130">
        <v>113096</v>
      </c>
      <c r="W425" s="128">
        <v>0</v>
      </c>
      <c r="X425" s="128">
        <v>5</v>
      </c>
      <c r="Y425" s="131" t="str">
        <f ca="1">IF(ISBLANK(BudgetsTable[[#This Row],[budg_seq_yr]]),"FY"&amp;fiscalyear,"FY"&amp;fiscalyear-1+BudgetsTable[[#This Row],[budg_seq_yr]])</f>
        <v>FY22</v>
      </c>
      <c r="Z425" s="129">
        <v>113096</v>
      </c>
      <c r="AA425" s="128" t="s">
        <v>741</v>
      </c>
      <c r="AB425" s="128" t="s">
        <v>528</v>
      </c>
      <c r="AC425" s="126" t="s">
        <v>94</v>
      </c>
      <c r="AD425" s="128" t="s">
        <v>744</v>
      </c>
    </row>
    <row r="426" spans="1:30">
      <c r="A426" s="125" t="s">
        <v>658</v>
      </c>
      <c r="B426" s="126" t="s">
        <v>96</v>
      </c>
      <c r="C426" s="126">
        <f>C425+(BudgetsTable[[#This Row],[lead]]&lt;&gt;K425)</f>
        <v>86</v>
      </c>
      <c r="D426" s="126">
        <f>D425*(BudgetsTable[[#This Row],[lead]]=K425)+(BudgetsTable[[#This Row],[prop_id]]&lt;&gt;A425)</f>
        <v>1</v>
      </c>
      <c r="E426" s="127">
        <v>42934.808333333334</v>
      </c>
      <c r="F426" s="128" t="s">
        <v>242</v>
      </c>
      <c r="G426" s="128" t="s">
        <v>741</v>
      </c>
      <c r="H426" s="128" t="s">
        <v>528</v>
      </c>
      <c r="I426" s="126" t="s">
        <v>540</v>
      </c>
      <c r="J426" s="126" t="s">
        <v>788</v>
      </c>
      <c r="K426" s="128" t="s">
        <v>658</v>
      </c>
      <c r="L426" s="7" t="str">
        <f>IF(BudgetsTable[[#This Row],[pi_last_name]]=" ","",HYPERLINK("https://www.ejacket.nsf.gov/ej/showProposal.do?Continue=Y&amp;ID="&amp;BudgetsTable[[#This Row],[prop_id]],BudgetsTable[[#This Row],[prop_id]]))</f>
        <v>1750076</v>
      </c>
      <c r="M426" s="15" t="str">
        <f>IF(BudgetsTable[[#This Row],[pi_last_name]]=" ","",HYPERLINK("https://www.ejacket.nsf.gov/ej/processReviewAnalysis.do?dispatch=add&amp;uniqId="&amp;BudgetsTable[[#This Row],[prop_id]]&amp;PO_id,"&gt;ra"))</f>
        <v>&gt;ra</v>
      </c>
      <c r="N426" s="128" t="s">
        <v>659</v>
      </c>
      <c r="O426" s="7" t="str">
        <f>IF(BudgetsTable[[#This Row],[pi_last_name]]=" ","",HYPERLINK("mailto:"&amp;BudgetsTable[[#This Row],[pi_email]]&amp;"&amp;subject=Your NSF Proposal:  "&amp;BudgetsTable[[#This Row],[prop_id]],BudgetsTable[[#This Row],[pi_email]]))</f>
        <v>craig@ucr.edu</v>
      </c>
      <c r="P426" s="128" t="s">
        <v>341</v>
      </c>
      <c r="Q426" s="128"/>
      <c r="R426" s="128"/>
      <c r="S426" s="129"/>
      <c r="T426" s="129"/>
      <c r="U426" s="129"/>
      <c r="V426" s="130"/>
      <c r="W426" s="128">
        <v>0</v>
      </c>
      <c r="X426" s="128"/>
      <c r="Y426" s="131" t="str">
        <f ca="1">IF(ISBLANK(BudgetsTable[[#This Row],[budg_seq_yr]]),"FY"&amp;fiscalyear,"FY"&amp;fiscalyear-1+BudgetsTable[[#This Row],[budg_seq_yr]])</f>
        <v>FY18</v>
      </c>
      <c r="Z426" s="129">
        <v>440331</v>
      </c>
      <c r="AA426" s="128" t="s">
        <v>741</v>
      </c>
      <c r="AB426" s="128" t="s">
        <v>528</v>
      </c>
      <c r="AC426" s="126" t="s">
        <v>94</v>
      </c>
      <c r="AD426" s="128" t="s">
        <v>784</v>
      </c>
    </row>
    <row r="427" spans="1:30">
      <c r="A427" s="125" t="s">
        <v>658</v>
      </c>
      <c r="B427" s="126" t="s">
        <v>96</v>
      </c>
      <c r="C427" s="126">
        <f>C426+(BudgetsTable[[#This Row],[lead]]&lt;&gt;K426)</f>
        <v>86</v>
      </c>
      <c r="D427" s="126">
        <f>D426*(BudgetsTable[[#This Row],[lead]]=K426)+(BudgetsTable[[#This Row],[prop_id]]&lt;&gt;A426)</f>
        <v>1</v>
      </c>
      <c r="E427" s="127">
        <v>42934.808333333334</v>
      </c>
      <c r="F427" s="128" t="s">
        <v>242</v>
      </c>
      <c r="G427" s="128" t="s">
        <v>741</v>
      </c>
      <c r="H427" s="128" t="s">
        <v>528</v>
      </c>
      <c r="I427" s="126" t="s">
        <v>540</v>
      </c>
      <c r="J427" s="126" t="s">
        <v>13</v>
      </c>
      <c r="K427" s="128" t="s">
        <v>658</v>
      </c>
      <c r="L427" s="7" t="str">
        <f>IF(BudgetsTable[[#This Row],[pi_last_name]]=" ","",HYPERLINK("https://www.ejacket.nsf.gov/ej/showProposal.do?Continue=Y&amp;ID="&amp;BudgetsTable[[#This Row],[prop_id]],BudgetsTable[[#This Row],[prop_id]]))</f>
        <v/>
      </c>
      <c r="M427" s="15" t="str">
        <f>IF(BudgetsTable[[#This Row],[pi_last_name]]=" ","",HYPERLINK("https://www.ejacket.nsf.gov/ej/processReviewAnalysis.do?dispatch=add&amp;uniqId="&amp;BudgetsTable[[#This Row],[prop_id]]&amp;PO_id,"&gt;ra"))</f>
        <v/>
      </c>
      <c r="N427" s="128" t="s">
        <v>13</v>
      </c>
      <c r="O427" s="7" t="str">
        <f>IF(BudgetsTable[[#This Row],[pi_last_name]]=" ","",HYPERLINK("mailto:"&amp;BudgetsTable[[#This Row],[pi_email]]&amp;"&amp;subject=Your NSF Proposal:  "&amp;BudgetsTable[[#This Row],[prop_id]],BudgetsTable[[#This Row],[pi_email]]))</f>
        <v/>
      </c>
      <c r="P427" s="128" t="s">
        <v>13</v>
      </c>
      <c r="Q427" s="128">
        <v>1</v>
      </c>
      <c r="R427" s="128">
        <v>1</v>
      </c>
      <c r="S427" s="129">
        <v>0</v>
      </c>
      <c r="T427" s="129">
        <v>0</v>
      </c>
      <c r="U427" s="129">
        <v>0</v>
      </c>
      <c r="V427" s="130">
        <v>92028</v>
      </c>
      <c r="W427" s="128">
        <v>0</v>
      </c>
      <c r="X427" s="128">
        <v>1</v>
      </c>
      <c r="Y427" s="131" t="str">
        <f ca="1">IF(ISBLANK(BudgetsTable[[#This Row],[budg_seq_yr]]),"FY"&amp;fiscalyear,"FY"&amp;fiscalyear-1+BudgetsTable[[#This Row],[budg_seq_yr]])</f>
        <v>FY18</v>
      </c>
      <c r="Z427" s="129">
        <v>92028</v>
      </c>
      <c r="AA427" s="128" t="s">
        <v>741</v>
      </c>
      <c r="AB427" s="128" t="s">
        <v>528</v>
      </c>
      <c r="AC427" s="126" t="s">
        <v>94</v>
      </c>
      <c r="AD427" s="128" t="s">
        <v>784</v>
      </c>
    </row>
    <row r="428" spans="1:30">
      <c r="A428" s="125" t="s">
        <v>658</v>
      </c>
      <c r="B428" s="126" t="s">
        <v>96</v>
      </c>
      <c r="C428" s="126">
        <f>C427+(BudgetsTable[[#This Row],[lead]]&lt;&gt;K427)</f>
        <v>86</v>
      </c>
      <c r="D428" s="126">
        <f>D427*(BudgetsTable[[#This Row],[lead]]=K427)+(BudgetsTable[[#This Row],[prop_id]]&lt;&gt;A427)</f>
        <v>1</v>
      </c>
      <c r="E428" s="127">
        <v>42934.808333333334</v>
      </c>
      <c r="F428" s="128" t="s">
        <v>242</v>
      </c>
      <c r="G428" s="128" t="s">
        <v>741</v>
      </c>
      <c r="H428" s="128" t="s">
        <v>528</v>
      </c>
      <c r="I428" s="126" t="s">
        <v>540</v>
      </c>
      <c r="J428" s="126" t="s">
        <v>13</v>
      </c>
      <c r="K428" s="128" t="s">
        <v>658</v>
      </c>
      <c r="L428" s="7" t="str">
        <f>IF(BudgetsTable[[#This Row],[pi_last_name]]=" ","",HYPERLINK("https://www.ejacket.nsf.gov/ej/showProposal.do?Continue=Y&amp;ID="&amp;BudgetsTable[[#This Row],[prop_id]],BudgetsTable[[#This Row],[prop_id]]))</f>
        <v/>
      </c>
      <c r="M428" s="15" t="str">
        <f>IF(BudgetsTable[[#This Row],[pi_last_name]]=" ","",HYPERLINK("https://www.ejacket.nsf.gov/ej/processReviewAnalysis.do?dispatch=add&amp;uniqId="&amp;BudgetsTable[[#This Row],[prop_id]]&amp;PO_id,"&gt;ra"))</f>
        <v/>
      </c>
      <c r="N428" s="128" t="s">
        <v>13</v>
      </c>
      <c r="O428" s="7" t="str">
        <f>IF(BudgetsTable[[#This Row],[pi_last_name]]=" ","",HYPERLINK("mailto:"&amp;BudgetsTable[[#This Row],[pi_email]]&amp;"&amp;subject=Your NSF Proposal:  "&amp;BudgetsTable[[#This Row],[prop_id]],BudgetsTable[[#This Row],[pi_email]]))</f>
        <v/>
      </c>
      <c r="P428" s="128" t="s">
        <v>13</v>
      </c>
      <c r="Q428" s="128">
        <v>1</v>
      </c>
      <c r="R428" s="128">
        <v>1</v>
      </c>
      <c r="S428" s="129">
        <v>0</v>
      </c>
      <c r="T428" s="129">
        <v>0</v>
      </c>
      <c r="U428" s="129">
        <v>0</v>
      </c>
      <c r="V428" s="130">
        <v>84050</v>
      </c>
      <c r="W428" s="128">
        <v>0</v>
      </c>
      <c r="X428" s="128">
        <v>2</v>
      </c>
      <c r="Y428" s="131" t="str">
        <f ca="1">IF(ISBLANK(BudgetsTable[[#This Row],[budg_seq_yr]]),"FY"&amp;fiscalyear,"FY"&amp;fiscalyear-1+BudgetsTable[[#This Row],[budg_seq_yr]])</f>
        <v>FY19</v>
      </c>
      <c r="Z428" s="129">
        <v>84050</v>
      </c>
      <c r="AA428" s="128" t="s">
        <v>741</v>
      </c>
      <c r="AB428" s="128" t="s">
        <v>528</v>
      </c>
      <c r="AC428" s="126" t="s">
        <v>94</v>
      </c>
      <c r="AD428" s="128" t="s">
        <v>784</v>
      </c>
    </row>
    <row r="429" spans="1:30">
      <c r="A429" s="125" t="s">
        <v>658</v>
      </c>
      <c r="B429" s="126" t="s">
        <v>96</v>
      </c>
      <c r="C429" s="126">
        <f>C428+(BudgetsTable[[#This Row],[lead]]&lt;&gt;K428)</f>
        <v>86</v>
      </c>
      <c r="D429" s="126">
        <f>D428*(BudgetsTable[[#This Row],[lead]]=K428)+(BudgetsTable[[#This Row],[prop_id]]&lt;&gt;A428)</f>
        <v>1</v>
      </c>
      <c r="E429" s="127">
        <v>42934.808333333334</v>
      </c>
      <c r="F429" s="128" t="s">
        <v>242</v>
      </c>
      <c r="G429" s="128" t="s">
        <v>741</v>
      </c>
      <c r="H429" s="128" t="s">
        <v>528</v>
      </c>
      <c r="I429" s="126" t="s">
        <v>540</v>
      </c>
      <c r="J429" s="126" t="s">
        <v>13</v>
      </c>
      <c r="K429" s="128" t="s">
        <v>658</v>
      </c>
      <c r="L429" s="7" t="str">
        <f>IF(BudgetsTable[[#This Row],[pi_last_name]]=" ","",HYPERLINK("https://www.ejacket.nsf.gov/ej/showProposal.do?Continue=Y&amp;ID="&amp;BudgetsTable[[#This Row],[prop_id]],BudgetsTable[[#This Row],[prop_id]]))</f>
        <v/>
      </c>
      <c r="M429" s="15" t="str">
        <f>IF(BudgetsTable[[#This Row],[pi_last_name]]=" ","",HYPERLINK("https://www.ejacket.nsf.gov/ej/processReviewAnalysis.do?dispatch=add&amp;uniqId="&amp;BudgetsTable[[#This Row],[prop_id]]&amp;PO_id,"&gt;ra"))</f>
        <v/>
      </c>
      <c r="N429" s="128" t="s">
        <v>13</v>
      </c>
      <c r="O429" s="7" t="str">
        <f>IF(BudgetsTable[[#This Row],[pi_last_name]]=" ","",HYPERLINK("mailto:"&amp;BudgetsTable[[#This Row],[pi_email]]&amp;"&amp;subject=Your NSF Proposal:  "&amp;BudgetsTable[[#This Row],[prop_id]],BudgetsTable[[#This Row],[pi_email]]))</f>
        <v/>
      </c>
      <c r="P429" s="128" t="s">
        <v>13</v>
      </c>
      <c r="Q429" s="128">
        <v>1</v>
      </c>
      <c r="R429" s="128">
        <v>1</v>
      </c>
      <c r="S429" s="129">
        <v>0</v>
      </c>
      <c r="T429" s="129">
        <v>0</v>
      </c>
      <c r="U429" s="129">
        <v>0</v>
      </c>
      <c r="V429" s="130">
        <v>86026</v>
      </c>
      <c r="W429" s="128">
        <v>0</v>
      </c>
      <c r="X429" s="128">
        <v>3</v>
      </c>
      <c r="Y429" s="131" t="str">
        <f ca="1">IF(ISBLANK(BudgetsTable[[#This Row],[budg_seq_yr]]),"FY"&amp;fiscalyear,"FY"&amp;fiscalyear-1+BudgetsTable[[#This Row],[budg_seq_yr]])</f>
        <v>FY20</v>
      </c>
      <c r="Z429" s="129">
        <v>86026</v>
      </c>
      <c r="AA429" s="128" t="s">
        <v>741</v>
      </c>
      <c r="AB429" s="128" t="s">
        <v>528</v>
      </c>
      <c r="AC429" s="126" t="s">
        <v>94</v>
      </c>
      <c r="AD429" s="128" t="s">
        <v>784</v>
      </c>
    </row>
    <row r="430" spans="1:30">
      <c r="A430" s="125" t="s">
        <v>658</v>
      </c>
      <c r="B430" s="126" t="s">
        <v>96</v>
      </c>
      <c r="C430" s="126">
        <f>C429+(BudgetsTable[[#This Row],[lead]]&lt;&gt;K429)</f>
        <v>86</v>
      </c>
      <c r="D430" s="126">
        <f>D429*(BudgetsTable[[#This Row],[lead]]=K429)+(BudgetsTable[[#This Row],[prop_id]]&lt;&gt;A429)</f>
        <v>1</v>
      </c>
      <c r="E430" s="127">
        <v>42934.808333333334</v>
      </c>
      <c r="F430" s="128" t="s">
        <v>242</v>
      </c>
      <c r="G430" s="128" t="s">
        <v>741</v>
      </c>
      <c r="H430" s="128" t="s">
        <v>528</v>
      </c>
      <c r="I430" s="126" t="s">
        <v>540</v>
      </c>
      <c r="J430" s="126" t="s">
        <v>13</v>
      </c>
      <c r="K430" s="128" t="s">
        <v>658</v>
      </c>
      <c r="L430" s="7" t="str">
        <f>IF(BudgetsTable[[#This Row],[pi_last_name]]=" ","",HYPERLINK("https://www.ejacket.nsf.gov/ej/showProposal.do?Continue=Y&amp;ID="&amp;BudgetsTable[[#This Row],[prop_id]],BudgetsTable[[#This Row],[prop_id]]))</f>
        <v/>
      </c>
      <c r="M430" s="15" t="str">
        <f>IF(BudgetsTable[[#This Row],[pi_last_name]]=" ","",HYPERLINK("https://www.ejacket.nsf.gov/ej/processReviewAnalysis.do?dispatch=add&amp;uniqId="&amp;BudgetsTable[[#This Row],[prop_id]]&amp;PO_id,"&gt;ra"))</f>
        <v/>
      </c>
      <c r="N430" s="128" t="s">
        <v>13</v>
      </c>
      <c r="O430" s="7" t="str">
        <f>IF(BudgetsTable[[#This Row],[pi_last_name]]=" ","",HYPERLINK("mailto:"&amp;BudgetsTable[[#This Row],[pi_email]]&amp;"&amp;subject=Your NSF Proposal:  "&amp;BudgetsTable[[#This Row],[prop_id]],BudgetsTable[[#This Row],[pi_email]]))</f>
        <v/>
      </c>
      <c r="P430" s="128" t="s">
        <v>13</v>
      </c>
      <c r="Q430" s="128">
        <v>1</v>
      </c>
      <c r="R430" s="128">
        <v>1</v>
      </c>
      <c r="S430" s="129">
        <v>0</v>
      </c>
      <c r="T430" s="129">
        <v>0</v>
      </c>
      <c r="U430" s="129">
        <v>0</v>
      </c>
      <c r="V430" s="130">
        <v>88064</v>
      </c>
      <c r="W430" s="128">
        <v>0</v>
      </c>
      <c r="X430" s="128">
        <v>4</v>
      </c>
      <c r="Y430" s="131" t="str">
        <f ca="1">IF(ISBLANK(BudgetsTable[[#This Row],[budg_seq_yr]]),"FY"&amp;fiscalyear,"FY"&amp;fiscalyear-1+BudgetsTable[[#This Row],[budg_seq_yr]])</f>
        <v>FY21</v>
      </c>
      <c r="Z430" s="129">
        <v>88064</v>
      </c>
      <c r="AA430" s="128" t="s">
        <v>741</v>
      </c>
      <c r="AB430" s="128" t="s">
        <v>528</v>
      </c>
      <c r="AC430" s="126" t="s">
        <v>94</v>
      </c>
      <c r="AD430" s="128" t="s">
        <v>784</v>
      </c>
    </row>
    <row r="431" spans="1:30">
      <c r="A431" s="125" t="s">
        <v>658</v>
      </c>
      <c r="B431" s="126" t="s">
        <v>96</v>
      </c>
      <c r="C431" s="126">
        <f>C430+(BudgetsTable[[#This Row],[lead]]&lt;&gt;K430)</f>
        <v>86</v>
      </c>
      <c r="D431" s="126">
        <f>D430*(BudgetsTable[[#This Row],[lead]]=K430)+(BudgetsTable[[#This Row],[prop_id]]&lt;&gt;A430)</f>
        <v>1</v>
      </c>
      <c r="E431" s="127">
        <v>42934.808333333334</v>
      </c>
      <c r="F431" s="128" t="s">
        <v>242</v>
      </c>
      <c r="G431" s="128" t="s">
        <v>741</v>
      </c>
      <c r="H431" s="128" t="s">
        <v>528</v>
      </c>
      <c r="I431" s="126" t="s">
        <v>540</v>
      </c>
      <c r="J431" s="126" t="s">
        <v>13</v>
      </c>
      <c r="K431" s="128" t="s">
        <v>658</v>
      </c>
      <c r="L431" s="7" t="str">
        <f>IF(BudgetsTable[[#This Row],[pi_last_name]]=" ","",HYPERLINK("https://www.ejacket.nsf.gov/ej/showProposal.do?Continue=Y&amp;ID="&amp;BudgetsTable[[#This Row],[prop_id]],BudgetsTable[[#This Row],[prop_id]]))</f>
        <v/>
      </c>
      <c r="M431" s="15" t="str">
        <f>IF(BudgetsTable[[#This Row],[pi_last_name]]=" ","",HYPERLINK("https://www.ejacket.nsf.gov/ej/processReviewAnalysis.do?dispatch=add&amp;uniqId="&amp;BudgetsTable[[#This Row],[prop_id]]&amp;PO_id,"&gt;ra"))</f>
        <v/>
      </c>
      <c r="N431" s="128" t="s">
        <v>13</v>
      </c>
      <c r="O431" s="7" t="str">
        <f>IF(BudgetsTable[[#This Row],[pi_last_name]]=" ","",HYPERLINK("mailto:"&amp;BudgetsTable[[#This Row],[pi_email]]&amp;"&amp;subject=Your NSF Proposal:  "&amp;BudgetsTable[[#This Row],[prop_id]],BudgetsTable[[#This Row],[pi_email]]))</f>
        <v/>
      </c>
      <c r="P431" s="128" t="s">
        <v>13</v>
      </c>
      <c r="Q431" s="128">
        <v>1</v>
      </c>
      <c r="R431" s="128">
        <v>1</v>
      </c>
      <c r="S431" s="129">
        <v>0</v>
      </c>
      <c r="T431" s="129">
        <v>0</v>
      </c>
      <c r="U431" s="129">
        <v>0</v>
      </c>
      <c r="V431" s="130">
        <v>90163</v>
      </c>
      <c r="W431" s="128">
        <v>0</v>
      </c>
      <c r="X431" s="128">
        <v>5</v>
      </c>
      <c r="Y431" s="131" t="str">
        <f ca="1">IF(ISBLANK(BudgetsTable[[#This Row],[budg_seq_yr]]),"FY"&amp;fiscalyear,"FY"&amp;fiscalyear-1+BudgetsTable[[#This Row],[budg_seq_yr]])</f>
        <v>FY22</v>
      </c>
      <c r="Z431" s="129">
        <v>90163</v>
      </c>
      <c r="AA431" s="128" t="s">
        <v>741</v>
      </c>
      <c r="AB431" s="128" t="s">
        <v>528</v>
      </c>
      <c r="AC431" s="126" t="s">
        <v>94</v>
      </c>
      <c r="AD431" s="128" t="s">
        <v>784</v>
      </c>
    </row>
    <row r="432" spans="1:30">
      <c r="A432" s="125" t="s">
        <v>1608</v>
      </c>
      <c r="B432" s="126" t="s">
        <v>96</v>
      </c>
      <c r="C432" s="126">
        <f>C431+(BudgetsTable[[#This Row],[lead]]&lt;&gt;K431)</f>
        <v>87</v>
      </c>
      <c r="D432" s="126">
        <f>D431*(BudgetsTable[[#This Row],[lead]]=K431)+(BudgetsTable[[#This Row],[prop_id]]&lt;&gt;A431)</f>
        <v>1</v>
      </c>
      <c r="E432" s="127">
        <v>42935.359027777777</v>
      </c>
      <c r="F432" s="128" t="s">
        <v>242</v>
      </c>
      <c r="G432" s="128" t="s">
        <v>741</v>
      </c>
      <c r="H432" s="128" t="s">
        <v>528</v>
      </c>
      <c r="I432" s="126" t="s">
        <v>1530</v>
      </c>
      <c r="J432" s="126" t="s">
        <v>2380</v>
      </c>
      <c r="K432" s="128" t="s">
        <v>1608</v>
      </c>
      <c r="L432" s="7" t="str">
        <f>IF(BudgetsTable[[#This Row],[pi_last_name]]=" ","",HYPERLINK("https://www.ejacket.nsf.gov/ej/showProposal.do?Continue=Y&amp;ID="&amp;BudgetsTable[[#This Row],[prop_id]],BudgetsTable[[#This Row],[prop_id]]))</f>
        <v>1750118</v>
      </c>
      <c r="M432" s="15" t="str">
        <f>IF(BudgetsTable[[#This Row],[pi_last_name]]=" ","",HYPERLINK("https://www.ejacket.nsf.gov/ej/processReviewAnalysis.do?dispatch=add&amp;uniqId="&amp;BudgetsTable[[#This Row],[prop_id]]&amp;PO_id,"&gt;ra"))</f>
        <v>&gt;ra</v>
      </c>
      <c r="N432" s="128" t="s">
        <v>1609</v>
      </c>
      <c r="O432" s="7" t="str">
        <f>IF(BudgetsTable[[#This Row],[pi_last_name]]=" ","",HYPERLINK("mailto:"&amp;BudgetsTable[[#This Row],[pi_email]]&amp;"&amp;subject=Your NSF Proposal:  "&amp;BudgetsTable[[#This Row],[prop_id]],BudgetsTable[[#This Row],[pi_email]]))</f>
        <v>shil@buffalo.edu</v>
      </c>
      <c r="P432" s="128" t="s">
        <v>2144</v>
      </c>
      <c r="Q432" s="128"/>
      <c r="R432" s="128"/>
      <c r="S432" s="129"/>
      <c r="T432" s="129"/>
      <c r="U432" s="129"/>
      <c r="V432" s="130"/>
      <c r="W432" s="128">
        <v>0</v>
      </c>
      <c r="X432" s="128"/>
      <c r="Y432" s="131" t="str">
        <f ca="1">IF(ISBLANK(BudgetsTable[[#This Row],[budg_seq_yr]]),"FY"&amp;fiscalyear,"FY"&amp;fiscalyear-1+BudgetsTable[[#This Row],[budg_seq_yr]])</f>
        <v>FY18</v>
      </c>
      <c r="Z432" s="129">
        <v>530842</v>
      </c>
      <c r="AA432" s="128" t="s">
        <v>741</v>
      </c>
      <c r="AB432" s="128" t="s">
        <v>528</v>
      </c>
      <c r="AC432" s="126" t="s">
        <v>94</v>
      </c>
      <c r="AD432" s="128" t="s">
        <v>744</v>
      </c>
    </row>
    <row r="433" spans="1:30">
      <c r="A433" s="125" t="s">
        <v>1608</v>
      </c>
      <c r="B433" s="126" t="s">
        <v>96</v>
      </c>
      <c r="C433" s="126">
        <f>C432+(BudgetsTable[[#This Row],[lead]]&lt;&gt;K432)</f>
        <v>87</v>
      </c>
      <c r="D433" s="126">
        <f>D432*(BudgetsTable[[#This Row],[lead]]=K432)+(BudgetsTable[[#This Row],[prop_id]]&lt;&gt;A432)</f>
        <v>1</v>
      </c>
      <c r="E433" s="127">
        <v>42935.359027777777</v>
      </c>
      <c r="F433" s="128" t="s">
        <v>242</v>
      </c>
      <c r="G433" s="128" t="s">
        <v>741</v>
      </c>
      <c r="H433" s="128" t="s">
        <v>528</v>
      </c>
      <c r="I433" s="126" t="s">
        <v>1530</v>
      </c>
      <c r="J433" s="126" t="s">
        <v>13</v>
      </c>
      <c r="K433" s="128" t="s">
        <v>1608</v>
      </c>
      <c r="L433" s="7" t="str">
        <f>IF(BudgetsTable[[#This Row],[pi_last_name]]=" ","",HYPERLINK("https://www.ejacket.nsf.gov/ej/showProposal.do?Continue=Y&amp;ID="&amp;BudgetsTable[[#This Row],[prop_id]],BudgetsTable[[#This Row],[prop_id]]))</f>
        <v/>
      </c>
      <c r="M433" s="15" t="str">
        <f>IF(BudgetsTable[[#This Row],[pi_last_name]]=" ","",HYPERLINK("https://www.ejacket.nsf.gov/ej/processReviewAnalysis.do?dispatch=add&amp;uniqId="&amp;BudgetsTable[[#This Row],[prop_id]]&amp;PO_id,"&gt;ra"))</f>
        <v/>
      </c>
      <c r="N433" s="128" t="s">
        <v>13</v>
      </c>
      <c r="O433" s="7" t="str">
        <f>IF(BudgetsTable[[#This Row],[pi_last_name]]=" ","",HYPERLINK("mailto:"&amp;BudgetsTable[[#This Row],[pi_email]]&amp;"&amp;subject=Your NSF Proposal:  "&amp;BudgetsTable[[#This Row],[prop_id]],BudgetsTable[[#This Row],[pi_email]]))</f>
        <v/>
      </c>
      <c r="P433" s="128" t="s">
        <v>13</v>
      </c>
      <c r="Q433" s="128">
        <v>1</v>
      </c>
      <c r="R433" s="128">
        <v>1</v>
      </c>
      <c r="S433" s="129">
        <v>0</v>
      </c>
      <c r="T433" s="129">
        <v>2000</v>
      </c>
      <c r="U433" s="129">
        <v>0</v>
      </c>
      <c r="V433" s="130">
        <v>99976</v>
      </c>
      <c r="W433" s="128">
        <v>0</v>
      </c>
      <c r="X433" s="128">
        <v>1</v>
      </c>
      <c r="Y433" s="131" t="str">
        <f ca="1">IF(ISBLANK(BudgetsTable[[#This Row],[budg_seq_yr]]),"FY"&amp;fiscalyear,"FY"&amp;fiscalyear-1+BudgetsTable[[#This Row],[budg_seq_yr]])</f>
        <v>FY18</v>
      </c>
      <c r="Z433" s="129">
        <v>99976</v>
      </c>
      <c r="AA433" s="128" t="s">
        <v>741</v>
      </c>
      <c r="AB433" s="128" t="s">
        <v>528</v>
      </c>
      <c r="AC433" s="126" t="s">
        <v>94</v>
      </c>
      <c r="AD433" s="128" t="s">
        <v>744</v>
      </c>
    </row>
    <row r="434" spans="1:30">
      <c r="A434" s="125" t="s">
        <v>1608</v>
      </c>
      <c r="B434" s="126" t="s">
        <v>96</v>
      </c>
      <c r="C434" s="126">
        <f>C433+(BudgetsTable[[#This Row],[lead]]&lt;&gt;K433)</f>
        <v>87</v>
      </c>
      <c r="D434" s="126">
        <f>D433*(BudgetsTable[[#This Row],[lead]]=K433)+(BudgetsTable[[#This Row],[prop_id]]&lt;&gt;A433)</f>
        <v>1</v>
      </c>
      <c r="E434" s="127">
        <v>42935.359027777777</v>
      </c>
      <c r="F434" s="128" t="s">
        <v>242</v>
      </c>
      <c r="G434" s="128" t="s">
        <v>741</v>
      </c>
      <c r="H434" s="128" t="s">
        <v>528</v>
      </c>
      <c r="I434" s="126" t="s">
        <v>1530</v>
      </c>
      <c r="J434" s="126" t="s">
        <v>13</v>
      </c>
      <c r="K434" s="128" t="s">
        <v>1608</v>
      </c>
      <c r="L434" s="7" t="str">
        <f>IF(BudgetsTable[[#This Row],[pi_last_name]]=" ","",HYPERLINK("https://www.ejacket.nsf.gov/ej/showProposal.do?Continue=Y&amp;ID="&amp;BudgetsTable[[#This Row],[prop_id]],BudgetsTable[[#This Row],[prop_id]]))</f>
        <v/>
      </c>
      <c r="M434" s="15" t="str">
        <f>IF(BudgetsTable[[#This Row],[pi_last_name]]=" ","",HYPERLINK("https://www.ejacket.nsf.gov/ej/processReviewAnalysis.do?dispatch=add&amp;uniqId="&amp;BudgetsTable[[#This Row],[prop_id]]&amp;PO_id,"&gt;ra"))</f>
        <v/>
      </c>
      <c r="N434" s="128" t="s">
        <v>13</v>
      </c>
      <c r="O434" s="7" t="str">
        <f>IF(BudgetsTable[[#This Row],[pi_last_name]]=" ","",HYPERLINK("mailto:"&amp;BudgetsTable[[#This Row],[pi_email]]&amp;"&amp;subject=Your NSF Proposal:  "&amp;BudgetsTable[[#This Row],[prop_id]],BudgetsTable[[#This Row],[pi_email]]))</f>
        <v/>
      </c>
      <c r="P434" s="128" t="s">
        <v>13</v>
      </c>
      <c r="Q434" s="128">
        <v>1</v>
      </c>
      <c r="R434" s="128">
        <v>1</v>
      </c>
      <c r="S434" s="129">
        <v>0</v>
      </c>
      <c r="T434" s="129">
        <v>2000</v>
      </c>
      <c r="U434" s="129">
        <v>0</v>
      </c>
      <c r="V434" s="130">
        <v>100831</v>
      </c>
      <c r="W434" s="128">
        <v>0</v>
      </c>
      <c r="X434" s="128">
        <v>2</v>
      </c>
      <c r="Y434" s="131" t="str">
        <f ca="1">IF(ISBLANK(BudgetsTable[[#This Row],[budg_seq_yr]]),"FY"&amp;fiscalyear,"FY"&amp;fiscalyear-1+BudgetsTable[[#This Row],[budg_seq_yr]])</f>
        <v>FY19</v>
      </c>
      <c r="Z434" s="129">
        <v>100831</v>
      </c>
      <c r="AA434" s="128" t="s">
        <v>741</v>
      </c>
      <c r="AB434" s="128" t="s">
        <v>528</v>
      </c>
      <c r="AC434" s="126" t="s">
        <v>94</v>
      </c>
      <c r="AD434" s="128" t="s">
        <v>744</v>
      </c>
    </row>
    <row r="435" spans="1:30">
      <c r="A435" s="125" t="s">
        <v>1608</v>
      </c>
      <c r="B435" s="126" t="s">
        <v>96</v>
      </c>
      <c r="C435" s="126">
        <f>C434+(BudgetsTable[[#This Row],[lead]]&lt;&gt;K434)</f>
        <v>87</v>
      </c>
      <c r="D435" s="126">
        <f>D434*(BudgetsTable[[#This Row],[lead]]=K434)+(BudgetsTable[[#This Row],[prop_id]]&lt;&gt;A434)</f>
        <v>1</v>
      </c>
      <c r="E435" s="127">
        <v>42935.359027777777</v>
      </c>
      <c r="F435" s="128" t="s">
        <v>242</v>
      </c>
      <c r="G435" s="128" t="s">
        <v>741</v>
      </c>
      <c r="H435" s="128" t="s">
        <v>528</v>
      </c>
      <c r="I435" s="126" t="s">
        <v>1530</v>
      </c>
      <c r="J435" s="126" t="s">
        <v>13</v>
      </c>
      <c r="K435" s="128" t="s">
        <v>1608</v>
      </c>
      <c r="L435" s="7" t="str">
        <f>IF(BudgetsTable[[#This Row],[pi_last_name]]=" ","",HYPERLINK("https://www.ejacket.nsf.gov/ej/showProposal.do?Continue=Y&amp;ID="&amp;BudgetsTable[[#This Row],[prop_id]],BudgetsTable[[#This Row],[prop_id]]))</f>
        <v/>
      </c>
      <c r="M435" s="15" t="str">
        <f>IF(BudgetsTable[[#This Row],[pi_last_name]]=" ","",HYPERLINK("https://www.ejacket.nsf.gov/ej/processReviewAnalysis.do?dispatch=add&amp;uniqId="&amp;BudgetsTable[[#This Row],[prop_id]]&amp;PO_id,"&gt;ra"))</f>
        <v/>
      </c>
      <c r="N435" s="128" t="s">
        <v>13</v>
      </c>
      <c r="O435" s="7" t="str">
        <f>IF(BudgetsTable[[#This Row],[pi_last_name]]=" ","",HYPERLINK("mailto:"&amp;BudgetsTable[[#This Row],[pi_email]]&amp;"&amp;subject=Your NSF Proposal:  "&amp;BudgetsTable[[#This Row],[prop_id]],BudgetsTable[[#This Row],[pi_email]]))</f>
        <v/>
      </c>
      <c r="P435" s="128" t="s">
        <v>13</v>
      </c>
      <c r="Q435" s="128">
        <v>1</v>
      </c>
      <c r="R435" s="128">
        <v>1</v>
      </c>
      <c r="S435" s="129">
        <v>0</v>
      </c>
      <c r="T435" s="129">
        <v>2000</v>
      </c>
      <c r="U435" s="129">
        <v>0</v>
      </c>
      <c r="V435" s="130">
        <v>106222</v>
      </c>
      <c r="W435" s="128">
        <v>0</v>
      </c>
      <c r="X435" s="128">
        <v>3</v>
      </c>
      <c r="Y435" s="131" t="str">
        <f ca="1">IF(ISBLANK(BudgetsTable[[#This Row],[budg_seq_yr]]),"FY"&amp;fiscalyear,"FY"&amp;fiscalyear-1+BudgetsTable[[#This Row],[budg_seq_yr]])</f>
        <v>FY20</v>
      </c>
      <c r="Z435" s="129">
        <v>106222</v>
      </c>
      <c r="AA435" s="128" t="s">
        <v>741</v>
      </c>
      <c r="AB435" s="128" t="s">
        <v>528</v>
      </c>
      <c r="AC435" s="126" t="s">
        <v>94</v>
      </c>
      <c r="AD435" s="128" t="s">
        <v>744</v>
      </c>
    </row>
    <row r="436" spans="1:30">
      <c r="A436" s="125" t="s">
        <v>1608</v>
      </c>
      <c r="B436" s="126" t="s">
        <v>96</v>
      </c>
      <c r="C436" s="126">
        <f>C435+(BudgetsTable[[#This Row],[lead]]&lt;&gt;K435)</f>
        <v>87</v>
      </c>
      <c r="D436" s="126">
        <f>D435*(BudgetsTable[[#This Row],[lead]]=K435)+(BudgetsTable[[#This Row],[prop_id]]&lt;&gt;A435)</f>
        <v>1</v>
      </c>
      <c r="E436" s="127">
        <v>42935.359027777777</v>
      </c>
      <c r="F436" s="128" t="s">
        <v>242</v>
      </c>
      <c r="G436" s="128" t="s">
        <v>741</v>
      </c>
      <c r="H436" s="128" t="s">
        <v>528</v>
      </c>
      <c r="I436" s="126" t="s">
        <v>1530</v>
      </c>
      <c r="J436" s="126" t="s">
        <v>13</v>
      </c>
      <c r="K436" s="128" t="s">
        <v>1608</v>
      </c>
      <c r="L436" s="7" t="str">
        <f>IF(BudgetsTable[[#This Row],[pi_last_name]]=" ","",HYPERLINK("https://www.ejacket.nsf.gov/ej/showProposal.do?Continue=Y&amp;ID="&amp;BudgetsTable[[#This Row],[prop_id]],BudgetsTable[[#This Row],[prop_id]]))</f>
        <v/>
      </c>
      <c r="M436" s="15" t="str">
        <f>IF(BudgetsTable[[#This Row],[pi_last_name]]=" ","",HYPERLINK("https://www.ejacket.nsf.gov/ej/processReviewAnalysis.do?dispatch=add&amp;uniqId="&amp;BudgetsTable[[#This Row],[prop_id]]&amp;PO_id,"&gt;ra"))</f>
        <v/>
      </c>
      <c r="N436" s="128" t="s">
        <v>13</v>
      </c>
      <c r="O436" s="7" t="str">
        <f>IF(BudgetsTable[[#This Row],[pi_last_name]]=" ","",HYPERLINK("mailto:"&amp;BudgetsTable[[#This Row],[pi_email]]&amp;"&amp;subject=Your NSF Proposal:  "&amp;BudgetsTable[[#This Row],[prop_id]],BudgetsTable[[#This Row],[pi_email]]))</f>
        <v/>
      </c>
      <c r="P436" s="128" t="s">
        <v>13</v>
      </c>
      <c r="Q436" s="128">
        <v>1</v>
      </c>
      <c r="R436" s="128">
        <v>1</v>
      </c>
      <c r="S436" s="129">
        <v>0</v>
      </c>
      <c r="T436" s="129">
        <v>2000</v>
      </c>
      <c r="U436" s="129">
        <v>0</v>
      </c>
      <c r="V436" s="130">
        <v>110517</v>
      </c>
      <c r="W436" s="128">
        <v>0</v>
      </c>
      <c r="X436" s="128">
        <v>4</v>
      </c>
      <c r="Y436" s="131" t="str">
        <f ca="1">IF(ISBLANK(BudgetsTable[[#This Row],[budg_seq_yr]]),"FY"&amp;fiscalyear,"FY"&amp;fiscalyear-1+BudgetsTable[[#This Row],[budg_seq_yr]])</f>
        <v>FY21</v>
      </c>
      <c r="Z436" s="129">
        <v>110517</v>
      </c>
      <c r="AA436" s="128" t="s">
        <v>741</v>
      </c>
      <c r="AB436" s="128" t="s">
        <v>528</v>
      </c>
      <c r="AC436" s="126" t="s">
        <v>94</v>
      </c>
      <c r="AD436" s="128" t="s">
        <v>744</v>
      </c>
    </row>
    <row r="437" spans="1:30">
      <c r="A437" s="125" t="s">
        <v>1608</v>
      </c>
      <c r="B437" s="126" t="s">
        <v>96</v>
      </c>
      <c r="C437" s="126">
        <f>C436+(BudgetsTable[[#This Row],[lead]]&lt;&gt;K436)</f>
        <v>87</v>
      </c>
      <c r="D437" s="126">
        <f>D436*(BudgetsTable[[#This Row],[lead]]=K436)+(BudgetsTable[[#This Row],[prop_id]]&lt;&gt;A436)</f>
        <v>1</v>
      </c>
      <c r="E437" s="127">
        <v>42935.359027777777</v>
      </c>
      <c r="F437" s="128" t="s">
        <v>242</v>
      </c>
      <c r="G437" s="128" t="s">
        <v>741</v>
      </c>
      <c r="H437" s="128" t="s">
        <v>528</v>
      </c>
      <c r="I437" s="126" t="s">
        <v>1530</v>
      </c>
      <c r="J437" s="126" t="s">
        <v>13</v>
      </c>
      <c r="K437" s="128" t="s">
        <v>1608</v>
      </c>
      <c r="L437" s="7" t="str">
        <f>IF(BudgetsTable[[#This Row],[pi_last_name]]=" ","",HYPERLINK("https://www.ejacket.nsf.gov/ej/showProposal.do?Continue=Y&amp;ID="&amp;BudgetsTable[[#This Row],[prop_id]],BudgetsTable[[#This Row],[prop_id]]))</f>
        <v/>
      </c>
      <c r="M437" s="15" t="str">
        <f>IF(BudgetsTable[[#This Row],[pi_last_name]]=" ","",HYPERLINK("https://www.ejacket.nsf.gov/ej/processReviewAnalysis.do?dispatch=add&amp;uniqId="&amp;BudgetsTable[[#This Row],[prop_id]]&amp;PO_id,"&gt;ra"))</f>
        <v/>
      </c>
      <c r="N437" s="128" t="s">
        <v>13</v>
      </c>
      <c r="O437" s="7" t="str">
        <f>IF(BudgetsTable[[#This Row],[pi_last_name]]=" ","",HYPERLINK("mailto:"&amp;BudgetsTable[[#This Row],[pi_email]]&amp;"&amp;subject=Your NSF Proposal:  "&amp;BudgetsTable[[#This Row],[prop_id]],BudgetsTable[[#This Row],[pi_email]]))</f>
        <v/>
      </c>
      <c r="P437" s="128" t="s">
        <v>13</v>
      </c>
      <c r="Q437" s="128">
        <v>1</v>
      </c>
      <c r="R437" s="128">
        <v>1</v>
      </c>
      <c r="S437" s="129">
        <v>0</v>
      </c>
      <c r="T437" s="129">
        <v>2000</v>
      </c>
      <c r="U437" s="129">
        <v>0</v>
      </c>
      <c r="V437" s="130">
        <v>113296</v>
      </c>
      <c r="W437" s="128">
        <v>0</v>
      </c>
      <c r="X437" s="128">
        <v>5</v>
      </c>
      <c r="Y437" s="131" t="str">
        <f ca="1">IF(ISBLANK(BudgetsTable[[#This Row],[budg_seq_yr]]),"FY"&amp;fiscalyear,"FY"&amp;fiscalyear-1+BudgetsTable[[#This Row],[budg_seq_yr]])</f>
        <v>FY22</v>
      </c>
      <c r="Z437" s="129">
        <v>113296</v>
      </c>
      <c r="AA437" s="128" t="s">
        <v>741</v>
      </c>
      <c r="AB437" s="128" t="s">
        <v>528</v>
      </c>
      <c r="AC437" s="126" t="s">
        <v>94</v>
      </c>
      <c r="AD437" s="128" t="s">
        <v>744</v>
      </c>
    </row>
    <row r="438" spans="1:30">
      <c r="A438" s="125" t="s">
        <v>1616</v>
      </c>
      <c r="B438" s="126" t="s">
        <v>96</v>
      </c>
      <c r="C438" s="126">
        <f>C437+(BudgetsTable[[#This Row],[lead]]&lt;&gt;K437)</f>
        <v>88</v>
      </c>
      <c r="D438" s="126">
        <f>D437*(BudgetsTable[[#This Row],[lead]]=K437)+(BudgetsTable[[#This Row],[prop_id]]&lt;&gt;A437)</f>
        <v>1</v>
      </c>
      <c r="E438" s="127">
        <v>42935.374305555553</v>
      </c>
      <c r="F438" s="128" t="s">
        <v>242</v>
      </c>
      <c r="G438" s="128" t="s">
        <v>741</v>
      </c>
      <c r="H438" s="128" t="s">
        <v>528</v>
      </c>
      <c r="I438" s="126" t="s">
        <v>1530</v>
      </c>
      <c r="J438" s="126" t="s">
        <v>2383</v>
      </c>
      <c r="K438" s="128" t="s">
        <v>1616</v>
      </c>
      <c r="L438" s="7" t="str">
        <f>IF(BudgetsTable[[#This Row],[pi_last_name]]=" ","",HYPERLINK("https://www.ejacket.nsf.gov/ej/showProposal.do?Continue=Y&amp;ID="&amp;BudgetsTable[[#This Row],[prop_id]],BudgetsTable[[#This Row],[prop_id]]))</f>
        <v>1750127</v>
      </c>
      <c r="M438" s="15" t="str">
        <f>IF(BudgetsTable[[#This Row],[pi_last_name]]=" ","",HYPERLINK("https://www.ejacket.nsf.gov/ej/processReviewAnalysis.do?dispatch=add&amp;uniqId="&amp;BudgetsTable[[#This Row],[prop_id]]&amp;PO_id,"&gt;ra"))</f>
        <v>&gt;ra</v>
      </c>
      <c r="N438" s="128" t="s">
        <v>1617</v>
      </c>
      <c r="O438" s="7" t="str">
        <f>IF(BudgetsTable[[#This Row],[pi_last_name]]=" ","",HYPERLINK("mailto:"&amp;BudgetsTable[[#This Row],[pi_email]]&amp;"&amp;subject=Your NSF Proposal:  "&amp;BudgetsTable[[#This Row],[prop_id]],BudgetsTable[[#This Row],[pi_email]]))</f>
        <v>viswa@umich.edu</v>
      </c>
      <c r="P438" s="128" t="s">
        <v>342</v>
      </c>
      <c r="Q438" s="128"/>
      <c r="R438" s="128"/>
      <c r="S438" s="129"/>
      <c r="T438" s="129"/>
      <c r="U438" s="129"/>
      <c r="V438" s="130"/>
      <c r="W438" s="128">
        <v>0</v>
      </c>
      <c r="X438" s="128"/>
      <c r="Y438" s="131" t="str">
        <f ca="1">IF(ISBLANK(BudgetsTable[[#This Row],[budg_seq_yr]]),"FY"&amp;fiscalyear,"FY"&amp;fiscalyear-1+BudgetsTable[[#This Row],[budg_seq_yr]])</f>
        <v>FY18</v>
      </c>
      <c r="Z438" s="129">
        <v>524840</v>
      </c>
      <c r="AA438" s="128" t="s">
        <v>741</v>
      </c>
      <c r="AB438" s="128" t="s">
        <v>528</v>
      </c>
      <c r="AC438" s="126" t="s">
        <v>94</v>
      </c>
      <c r="AD438" s="128" t="s">
        <v>250</v>
      </c>
    </row>
    <row r="439" spans="1:30">
      <c r="A439" s="125" t="s">
        <v>1616</v>
      </c>
      <c r="B439" s="126" t="s">
        <v>96</v>
      </c>
      <c r="C439" s="126">
        <f>C438+(BudgetsTable[[#This Row],[lead]]&lt;&gt;K438)</f>
        <v>88</v>
      </c>
      <c r="D439" s="126">
        <f>D438*(BudgetsTable[[#This Row],[lead]]=K438)+(BudgetsTable[[#This Row],[prop_id]]&lt;&gt;A438)</f>
        <v>1</v>
      </c>
      <c r="E439" s="127">
        <v>42935.374305555553</v>
      </c>
      <c r="F439" s="128" t="s">
        <v>242</v>
      </c>
      <c r="G439" s="128" t="s">
        <v>741</v>
      </c>
      <c r="H439" s="128" t="s">
        <v>528</v>
      </c>
      <c r="I439" s="126" t="s">
        <v>1530</v>
      </c>
      <c r="J439" s="126" t="s">
        <v>13</v>
      </c>
      <c r="K439" s="128" t="s">
        <v>1616</v>
      </c>
      <c r="L439" s="7" t="str">
        <f>IF(BudgetsTable[[#This Row],[pi_last_name]]=" ","",HYPERLINK("https://www.ejacket.nsf.gov/ej/showProposal.do?Continue=Y&amp;ID="&amp;BudgetsTable[[#This Row],[prop_id]],BudgetsTable[[#This Row],[prop_id]]))</f>
        <v/>
      </c>
      <c r="M439" s="15" t="str">
        <f>IF(BudgetsTable[[#This Row],[pi_last_name]]=" ","",HYPERLINK("https://www.ejacket.nsf.gov/ej/processReviewAnalysis.do?dispatch=add&amp;uniqId="&amp;BudgetsTable[[#This Row],[prop_id]]&amp;PO_id,"&gt;ra"))</f>
        <v/>
      </c>
      <c r="N439" s="128" t="s">
        <v>13</v>
      </c>
      <c r="O439" s="7" t="str">
        <f>IF(BudgetsTable[[#This Row],[pi_last_name]]=" ","",HYPERLINK("mailto:"&amp;BudgetsTable[[#This Row],[pi_email]]&amp;"&amp;subject=Your NSF Proposal:  "&amp;BudgetsTable[[#This Row],[prop_id]],BudgetsTable[[#This Row],[pi_email]]))</f>
        <v/>
      </c>
      <c r="P439" s="128" t="s">
        <v>13</v>
      </c>
      <c r="Q439" s="128">
        <v>1</v>
      </c>
      <c r="R439" s="128">
        <v>1</v>
      </c>
      <c r="S439" s="129">
        <v>0</v>
      </c>
      <c r="T439" s="129">
        <v>0</v>
      </c>
      <c r="U439" s="129">
        <v>0</v>
      </c>
      <c r="V439" s="130">
        <v>112867</v>
      </c>
      <c r="W439" s="128">
        <v>0</v>
      </c>
      <c r="X439" s="128">
        <v>1</v>
      </c>
      <c r="Y439" s="131" t="str">
        <f ca="1">IF(ISBLANK(BudgetsTable[[#This Row],[budg_seq_yr]]),"FY"&amp;fiscalyear,"FY"&amp;fiscalyear-1+BudgetsTable[[#This Row],[budg_seq_yr]])</f>
        <v>FY18</v>
      </c>
      <c r="Z439" s="129">
        <v>112867</v>
      </c>
      <c r="AA439" s="128" t="s">
        <v>741</v>
      </c>
      <c r="AB439" s="128" t="s">
        <v>528</v>
      </c>
      <c r="AC439" s="126" t="s">
        <v>94</v>
      </c>
      <c r="AD439" s="128" t="s">
        <v>250</v>
      </c>
    </row>
    <row r="440" spans="1:30">
      <c r="A440" s="125" t="s">
        <v>1616</v>
      </c>
      <c r="B440" s="126" t="s">
        <v>96</v>
      </c>
      <c r="C440" s="126">
        <f>C439+(BudgetsTable[[#This Row],[lead]]&lt;&gt;K439)</f>
        <v>88</v>
      </c>
      <c r="D440" s="126">
        <f>D439*(BudgetsTable[[#This Row],[lead]]=K439)+(BudgetsTable[[#This Row],[prop_id]]&lt;&gt;A439)</f>
        <v>1</v>
      </c>
      <c r="E440" s="127">
        <v>42935.374305555553</v>
      </c>
      <c r="F440" s="128" t="s">
        <v>242</v>
      </c>
      <c r="G440" s="128" t="s">
        <v>741</v>
      </c>
      <c r="H440" s="128" t="s">
        <v>528</v>
      </c>
      <c r="I440" s="126" t="s">
        <v>1530</v>
      </c>
      <c r="J440" s="126" t="s">
        <v>13</v>
      </c>
      <c r="K440" s="128" t="s">
        <v>1616</v>
      </c>
      <c r="L440" s="7" t="str">
        <f>IF(BudgetsTable[[#This Row],[pi_last_name]]=" ","",HYPERLINK("https://www.ejacket.nsf.gov/ej/showProposal.do?Continue=Y&amp;ID="&amp;BudgetsTable[[#This Row],[prop_id]],BudgetsTable[[#This Row],[prop_id]]))</f>
        <v/>
      </c>
      <c r="M440" s="15" t="str">
        <f>IF(BudgetsTable[[#This Row],[pi_last_name]]=" ","",HYPERLINK("https://www.ejacket.nsf.gov/ej/processReviewAnalysis.do?dispatch=add&amp;uniqId="&amp;BudgetsTable[[#This Row],[prop_id]]&amp;PO_id,"&gt;ra"))</f>
        <v/>
      </c>
      <c r="N440" s="128" t="s">
        <v>13</v>
      </c>
      <c r="O440" s="7" t="str">
        <f>IF(BudgetsTable[[#This Row],[pi_last_name]]=" ","",HYPERLINK("mailto:"&amp;BudgetsTable[[#This Row],[pi_email]]&amp;"&amp;subject=Your NSF Proposal:  "&amp;BudgetsTable[[#This Row],[prop_id]],BudgetsTable[[#This Row],[pi_email]]))</f>
        <v/>
      </c>
      <c r="P440" s="128" t="s">
        <v>13</v>
      </c>
      <c r="Q440" s="128">
        <v>1</v>
      </c>
      <c r="R440" s="128">
        <v>1</v>
      </c>
      <c r="S440" s="129">
        <v>0</v>
      </c>
      <c r="T440" s="129">
        <v>0</v>
      </c>
      <c r="U440" s="129">
        <v>1500</v>
      </c>
      <c r="V440" s="130">
        <v>109361</v>
      </c>
      <c r="W440" s="128">
        <v>0</v>
      </c>
      <c r="X440" s="128">
        <v>2</v>
      </c>
      <c r="Y440" s="131" t="str">
        <f ca="1">IF(ISBLANK(BudgetsTable[[#This Row],[budg_seq_yr]]),"FY"&amp;fiscalyear,"FY"&amp;fiscalyear-1+BudgetsTable[[#This Row],[budg_seq_yr]])</f>
        <v>FY19</v>
      </c>
      <c r="Z440" s="129">
        <v>109361</v>
      </c>
      <c r="AA440" s="128" t="s">
        <v>741</v>
      </c>
      <c r="AB440" s="128" t="s">
        <v>528</v>
      </c>
      <c r="AC440" s="126" t="s">
        <v>94</v>
      </c>
      <c r="AD440" s="128" t="s">
        <v>250</v>
      </c>
    </row>
    <row r="441" spans="1:30">
      <c r="A441" s="125" t="s">
        <v>1616</v>
      </c>
      <c r="B441" s="126" t="s">
        <v>96</v>
      </c>
      <c r="C441" s="126">
        <f>C440+(BudgetsTable[[#This Row],[lead]]&lt;&gt;K440)</f>
        <v>88</v>
      </c>
      <c r="D441" s="126">
        <f>D440*(BudgetsTable[[#This Row],[lead]]=K440)+(BudgetsTable[[#This Row],[prop_id]]&lt;&gt;A440)</f>
        <v>1</v>
      </c>
      <c r="E441" s="127">
        <v>42935.374305555553</v>
      </c>
      <c r="F441" s="128" t="s">
        <v>242</v>
      </c>
      <c r="G441" s="128" t="s">
        <v>741</v>
      </c>
      <c r="H441" s="128" t="s">
        <v>528</v>
      </c>
      <c r="I441" s="126" t="s">
        <v>1530</v>
      </c>
      <c r="J441" s="126" t="s">
        <v>13</v>
      </c>
      <c r="K441" s="128" t="s">
        <v>1616</v>
      </c>
      <c r="L441" s="7" t="str">
        <f>IF(BudgetsTable[[#This Row],[pi_last_name]]=" ","",HYPERLINK("https://www.ejacket.nsf.gov/ej/showProposal.do?Continue=Y&amp;ID="&amp;BudgetsTable[[#This Row],[prop_id]],BudgetsTable[[#This Row],[prop_id]]))</f>
        <v/>
      </c>
      <c r="M441" s="15" t="str">
        <f>IF(BudgetsTable[[#This Row],[pi_last_name]]=" ","",HYPERLINK("https://www.ejacket.nsf.gov/ej/processReviewAnalysis.do?dispatch=add&amp;uniqId="&amp;BudgetsTable[[#This Row],[prop_id]]&amp;PO_id,"&gt;ra"))</f>
        <v/>
      </c>
      <c r="N441" s="128" t="s">
        <v>13</v>
      </c>
      <c r="O441" s="7" t="str">
        <f>IF(BudgetsTable[[#This Row],[pi_last_name]]=" ","",HYPERLINK("mailto:"&amp;BudgetsTable[[#This Row],[pi_email]]&amp;"&amp;subject=Your NSF Proposal:  "&amp;BudgetsTable[[#This Row],[prop_id]],BudgetsTable[[#This Row],[pi_email]]))</f>
        <v/>
      </c>
      <c r="P441" s="128" t="s">
        <v>13</v>
      </c>
      <c r="Q441" s="128">
        <v>1</v>
      </c>
      <c r="R441" s="128">
        <v>1</v>
      </c>
      <c r="S441" s="129">
        <v>0</v>
      </c>
      <c r="T441" s="129">
        <v>0</v>
      </c>
      <c r="U441" s="129">
        <v>0</v>
      </c>
      <c r="V441" s="130">
        <v>111369</v>
      </c>
      <c r="W441" s="128">
        <v>0</v>
      </c>
      <c r="X441" s="128">
        <v>3</v>
      </c>
      <c r="Y441" s="131" t="str">
        <f ca="1">IF(ISBLANK(BudgetsTable[[#This Row],[budg_seq_yr]]),"FY"&amp;fiscalyear,"FY"&amp;fiscalyear-1+BudgetsTable[[#This Row],[budg_seq_yr]])</f>
        <v>FY20</v>
      </c>
      <c r="Z441" s="129">
        <v>111369</v>
      </c>
      <c r="AA441" s="128" t="s">
        <v>741</v>
      </c>
      <c r="AB441" s="128" t="s">
        <v>528</v>
      </c>
      <c r="AC441" s="126" t="s">
        <v>94</v>
      </c>
      <c r="AD441" s="128" t="s">
        <v>250</v>
      </c>
    </row>
    <row r="442" spans="1:30">
      <c r="A442" s="125" t="s">
        <v>1616</v>
      </c>
      <c r="B442" s="126" t="s">
        <v>96</v>
      </c>
      <c r="C442" s="126">
        <f>C441+(BudgetsTable[[#This Row],[lead]]&lt;&gt;K441)</f>
        <v>88</v>
      </c>
      <c r="D442" s="126">
        <f>D441*(BudgetsTable[[#This Row],[lead]]=K441)+(BudgetsTable[[#This Row],[prop_id]]&lt;&gt;A441)</f>
        <v>1</v>
      </c>
      <c r="E442" s="127">
        <v>42935.374305555553</v>
      </c>
      <c r="F442" s="128" t="s">
        <v>242</v>
      </c>
      <c r="G442" s="128" t="s">
        <v>741</v>
      </c>
      <c r="H442" s="128" t="s">
        <v>528</v>
      </c>
      <c r="I442" s="126" t="s">
        <v>1530</v>
      </c>
      <c r="J442" s="126" t="s">
        <v>13</v>
      </c>
      <c r="K442" s="128" t="s">
        <v>1616</v>
      </c>
      <c r="L442" s="7" t="str">
        <f>IF(BudgetsTable[[#This Row],[pi_last_name]]=" ","",HYPERLINK("https://www.ejacket.nsf.gov/ej/showProposal.do?Continue=Y&amp;ID="&amp;BudgetsTable[[#This Row],[prop_id]],BudgetsTable[[#This Row],[prop_id]]))</f>
        <v/>
      </c>
      <c r="M442" s="15" t="str">
        <f>IF(BudgetsTable[[#This Row],[pi_last_name]]=" ","",HYPERLINK("https://www.ejacket.nsf.gov/ej/processReviewAnalysis.do?dispatch=add&amp;uniqId="&amp;BudgetsTable[[#This Row],[prop_id]]&amp;PO_id,"&gt;ra"))</f>
        <v/>
      </c>
      <c r="N442" s="128" t="s">
        <v>13</v>
      </c>
      <c r="O442" s="7" t="str">
        <f>IF(BudgetsTable[[#This Row],[pi_last_name]]=" ","",HYPERLINK("mailto:"&amp;BudgetsTable[[#This Row],[pi_email]]&amp;"&amp;subject=Your NSF Proposal:  "&amp;BudgetsTable[[#This Row],[prop_id]],BudgetsTable[[#This Row],[pi_email]]))</f>
        <v/>
      </c>
      <c r="P442" s="128" t="s">
        <v>13</v>
      </c>
      <c r="Q442" s="128">
        <v>1</v>
      </c>
      <c r="R442" s="128">
        <v>1</v>
      </c>
      <c r="S442" s="129">
        <v>0</v>
      </c>
      <c r="T442" s="129">
        <v>0</v>
      </c>
      <c r="U442" s="129">
        <v>1500</v>
      </c>
      <c r="V442" s="130">
        <v>94898</v>
      </c>
      <c r="W442" s="128">
        <v>0</v>
      </c>
      <c r="X442" s="128">
        <v>4</v>
      </c>
      <c r="Y442" s="131" t="str">
        <f ca="1">IF(ISBLANK(BudgetsTable[[#This Row],[budg_seq_yr]]),"FY"&amp;fiscalyear,"FY"&amp;fiscalyear-1+BudgetsTable[[#This Row],[budg_seq_yr]])</f>
        <v>FY21</v>
      </c>
      <c r="Z442" s="129">
        <v>94898</v>
      </c>
      <c r="AA442" s="128" t="s">
        <v>741</v>
      </c>
      <c r="AB442" s="128" t="s">
        <v>528</v>
      </c>
      <c r="AC442" s="126" t="s">
        <v>94</v>
      </c>
      <c r="AD442" s="128" t="s">
        <v>250</v>
      </c>
    </row>
    <row r="443" spans="1:30">
      <c r="A443" s="125" t="s">
        <v>1616</v>
      </c>
      <c r="B443" s="126" t="s">
        <v>96</v>
      </c>
      <c r="C443" s="126">
        <f>C442+(BudgetsTable[[#This Row],[lead]]&lt;&gt;K442)</f>
        <v>88</v>
      </c>
      <c r="D443" s="126">
        <f>D442*(BudgetsTable[[#This Row],[lead]]=K442)+(BudgetsTable[[#This Row],[prop_id]]&lt;&gt;A442)</f>
        <v>1</v>
      </c>
      <c r="E443" s="127">
        <v>42935.374305555553</v>
      </c>
      <c r="F443" s="128" t="s">
        <v>242</v>
      </c>
      <c r="G443" s="128" t="s">
        <v>741</v>
      </c>
      <c r="H443" s="128" t="s">
        <v>528</v>
      </c>
      <c r="I443" s="126" t="s">
        <v>1530</v>
      </c>
      <c r="J443" s="126" t="s">
        <v>13</v>
      </c>
      <c r="K443" s="128" t="s">
        <v>1616</v>
      </c>
      <c r="L443" s="7" t="str">
        <f>IF(BudgetsTable[[#This Row],[pi_last_name]]=" ","",HYPERLINK("https://www.ejacket.nsf.gov/ej/showProposal.do?Continue=Y&amp;ID="&amp;BudgetsTable[[#This Row],[prop_id]],BudgetsTable[[#This Row],[prop_id]]))</f>
        <v/>
      </c>
      <c r="M443" s="15" t="str">
        <f>IF(BudgetsTable[[#This Row],[pi_last_name]]=" ","",HYPERLINK("https://www.ejacket.nsf.gov/ej/processReviewAnalysis.do?dispatch=add&amp;uniqId="&amp;BudgetsTable[[#This Row],[prop_id]]&amp;PO_id,"&gt;ra"))</f>
        <v/>
      </c>
      <c r="N443" s="128" t="s">
        <v>13</v>
      </c>
      <c r="O443" s="7" t="str">
        <f>IF(BudgetsTable[[#This Row],[pi_last_name]]=" ","",HYPERLINK("mailto:"&amp;BudgetsTable[[#This Row],[pi_email]]&amp;"&amp;subject=Your NSF Proposal:  "&amp;BudgetsTable[[#This Row],[prop_id]],BudgetsTable[[#This Row],[pi_email]]))</f>
        <v/>
      </c>
      <c r="P443" s="128" t="s">
        <v>13</v>
      </c>
      <c r="Q443" s="128">
        <v>1</v>
      </c>
      <c r="R443" s="128">
        <v>1</v>
      </c>
      <c r="S443" s="129">
        <v>0</v>
      </c>
      <c r="T443" s="129">
        <v>0</v>
      </c>
      <c r="U443" s="129">
        <v>0</v>
      </c>
      <c r="V443" s="130">
        <v>96345</v>
      </c>
      <c r="W443" s="128">
        <v>0</v>
      </c>
      <c r="X443" s="128">
        <v>5</v>
      </c>
      <c r="Y443" s="131" t="str">
        <f ca="1">IF(ISBLANK(BudgetsTable[[#This Row],[budg_seq_yr]]),"FY"&amp;fiscalyear,"FY"&amp;fiscalyear-1+BudgetsTable[[#This Row],[budg_seq_yr]])</f>
        <v>FY22</v>
      </c>
      <c r="Z443" s="129">
        <v>96345</v>
      </c>
      <c r="AA443" s="128" t="s">
        <v>741</v>
      </c>
      <c r="AB443" s="128" t="s">
        <v>528</v>
      </c>
      <c r="AC443" s="126" t="s">
        <v>94</v>
      </c>
      <c r="AD443" s="128" t="s">
        <v>250</v>
      </c>
    </row>
    <row r="444" spans="1:30">
      <c r="A444" s="125" t="s">
        <v>1624</v>
      </c>
      <c r="B444" s="126" t="s">
        <v>96</v>
      </c>
      <c r="C444" s="126">
        <f>C443+(BudgetsTable[[#This Row],[lead]]&lt;&gt;K443)</f>
        <v>89</v>
      </c>
      <c r="D444" s="126">
        <f>D443*(BudgetsTable[[#This Row],[lead]]=K443)+(BudgetsTable[[#This Row],[prop_id]]&lt;&gt;A443)</f>
        <v>1</v>
      </c>
      <c r="E444" s="127">
        <v>42935.387499999997</v>
      </c>
      <c r="F444" s="128" t="s">
        <v>242</v>
      </c>
      <c r="G444" s="128" t="s">
        <v>741</v>
      </c>
      <c r="H444" s="128" t="s">
        <v>528</v>
      </c>
      <c r="I444" s="126" t="s">
        <v>1530</v>
      </c>
      <c r="J444" s="126" t="s">
        <v>2387</v>
      </c>
      <c r="K444" s="128" t="s">
        <v>1624</v>
      </c>
      <c r="L444" s="7" t="str">
        <f>IF(BudgetsTable[[#This Row],[pi_last_name]]=" ","",HYPERLINK("https://www.ejacket.nsf.gov/ej/showProposal.do?Continue=Y&amp;ID="&amp;BudgetsTable[[#This Row],[prop_id]],BudgetsTable[[#This Row],[prop_id]]))</f>
        <v>1750140</v>
      </c>
      <c r="M444" s="15" t="str">
        <f>IF(BudgetsTable[[#This Row],[pi_last_name]]=" ","",HYPERLINK("https://www.ejacket.nsf.gov/ej/processReviewAnalysis.do?dispatch=add&amp;uniqId="&amp;BudgetsTable[[#This Row],[prop_id]]&amp;PO_id,"&gt;ra"))</f>
        <v>&gt;ra</v>
      </c>
      <c r="N444" s="128" t="s">
        <v>1625</v>
      </c>
      <c r="O444" s="7" t="str">
        <f>IF(BudgetsTable[[#This Row],[pi_last_name]]=" ","",HYPERLINK("mailto:"&amp;BudgetsTable[[#This Row],[pi_email]]&amp;"&amp;subject=Your NSF Proposal:  "&amp;BudgetsTable[[#This Row],[prop_id]],BudgetsTable[[#This Row],[pi_email]]))</f>
        <v>debmalya.panigrahi@gmail.com</v>
      </c>
      <c r="P444" s="128" t="s">
        <v>2198</v>
      </c>
      <c r="Q444" s="128"/>
      <c r="R444" s="128"/>
      <c r="S444" s="129"/>
      <c r="T444" s="129"/>
      <c r="U444" s="129"/>
      <c r="V444" s="130"/>
      <c r="W444" s="128">
        <v>0</v>
      </c>
      <c r="X444" s="128"/>
      <c r="Y444" s="131" t="str">
        <f ca="1">IF(ISBLANK(BudgetsTable[[#This Row],[budg_seq_yr]]),"FY"&amp;fiscalyear,"FY"&amp;fiscalyear-1+BudgetsTable[[#This Row],[budg_seq_yr]])</f>
        <v>FY18</v>
      </c>
      <c r="Z444" s="129">
        <v>602288</v>
      </c>
      <c r="AA444" s="128" t="s">
        <v>741</v>
      </c>
      <c r="AB444" s="128" t="s">
        <v>528</v>
      </c>
      <c r="AC444" s="126" t="s">
        <v>94</v>
      </c>
      <c r="AD444" s="128" t="s">
        <v>744</v>
      </c>
    </row>
    <row r="445" spans="1:30">
      <c r="A445" s="125" t="s">
        <v>1624</v>
      </c>
      <c r="B445" s="126" t="s">
        <v>96</v>
      </c>
      <c r="C445" s="126">
        <f>C444+(BudgetsTable[[#This Row],[lead]]&lt;&gt;K444)</f>
        <v>89</v>
      </c>
      <c r="D445" s="126">
        <f>D444*(BudgetsTable[[#This Row],[lead]]=K444)+(BudgetsTable[[#This Row],[prop_id]]&lt;&gt;A444)</f>
        <v>1</v>
      </c>
      <c r="E445" s="127">
        <v>42935.387499999997</v>
      </c>
      <c r="F445" s="128" t="s">
        <v>242</v>
      </c>
      <c r="G445" s="128" t="s">
        <v>741</v>
      </c>
      <c r="H445" s="128" t="s">
        <v>528</v>
      </c>
      <c r="I445" s="126" t="s">
        <v>1530</v>
      </c>
      <c r="J445" s="126" t="s">
        <v>13</v>
      </c>
      <c r="K445" s="128" t="s">
        <v>1624</v>
      </c>
      <c r="L445" s="7" t="str">
        <f>IF(BudgetsTable[[#This Row],[pi_last_name]]=" ","",HYPERLINK("https://www.ejacket.nsf.gov/ej/showProposal.do?Continue=Y&amp;ID="&amp;BudgetsTable[[#This Row],[prop_id]],BudgetsTable[[#This Row],[prop_id]]))</f>
        <v/>
      </c>
      <c r="M445" s="15" t="str">
        <f>IF(BudgetsTable[[#This Row],[pi_last_name]]=" ","",HYPERLINK("https://www.ejacket.nsf.gov/ej/processReviewAnalysis.do?dispatch=add&amp;uniqId="&amp;BudgetsTable[[#This Row],[prop_id]]&amp;PO_id,"&gt;ra"))</f>
        <v/>
      </c>
      <c r="N445" s="128" t="s">
        <v>13</v>
      </c>
      <c r="O445" s="7" t="str">
        <f>IF(BudgetsTable[[#This Row],[pi_last_name]]=" ","",HYPERLINK("mailto:"&amp;BudgetsTable[[#This Row],[pi_email]]&amp;"&amp;subject=Your NSF Proposal:  "&amp;BudgetsTable[[#This Row],[prop_id]],BudgetsTable[[#This Row],[pi_email]]))</f>
        <v/>
      </c>
      <c r="P445" s="128" t="s">
        <v>13</v>
      </c>
      <c r="Q445" s="128">
        <v>1</v>
      </c>
      <c r="R445" s="128">
        <v>1</v>
      </c>
      <c r="S445" s="129">
        <v>0</v>
      </c>
      <c r="T445" s="129">
        <v>4000</v>
      </c>
      <c r="U445" s="129">
        <v>16000</v>
      </c>
      <c r="V445" s="130">
        <v>116624</v>
      </c>
      <c r="W445" s="128">
        <v>0</v>
      </c>
      <c r="X445" s="128">
        <v>1</v>
      </c>
      <c r="Y445" s="131" t="str">
        <f ca="1">IF(ISBLANK(BudgetsTable[[#This Row],[budg_seq_yr]]),"FY"&amp;fiscalyear,"FY"&amp;fiscalyear-1+BudgetsTable[[#This Row],[budg_seq_yr]])</f>
        <v>FY18</v>
      </c>
      <c r="Z445" s="129">
        <v>116624</v>
      </c>
      <c r="AA445" s="128" t="s">
        <v>741</v>
      </c>
      <c r="AB445" s="128" t="s">
        <v>528</v>
      </c>
      <c r="AC445" s="126" t="s">
        <v>94</v>
      </c>
      <c r="AD445" s="128" t="s">
        <v>744</v>
      </c>
    </row>
    <row r="446" spans="1:30">
      <c r="A446" s="125" t="s">
        <v>1624</v>
      </c>
      <c r="B446" s="126" t="s">
        <v>96</v>
      </c>
      <c r="C446" s="126">
        <f>C445+(BudgetsTable[[#This Row],[lead]]&lt;&gt;K445)</f>
        <v>89</v>
      </c>
      <c r="D446" s="126">
        <f>D445*(BudgetsTable[[#This Row],[lead]]=K445)+(BudgetsTable[[#This Row],[prop_id]]&lt;&gt;A445)</f>
        <v>1</v>
      </c>
      <c r="E446" s="127">
        <v>42935.387499999997</v>
      </c>
      <c r="F446" s="128" t="s">
        <v>242</v>
      </c>
      <c r="G446" s="128" t="s">
        <v>741</v>
      </c>
      <c r="H446" s="128" t="s">
        <v>528</v>
      </c>
      <c r="I446" s="126" t="s">
        <v>1530</v>
      </c>
      <c r="J446" s="126" t="s">
        <v>13</v>
      </c>
      <c r="K446" s="128" t="s">
        <v>1624</v>
      </c>
      <c r="L446" s="7" t="str">
        <f>IF(BudgetsTable[[#This Row],[pi_last_name]]=" ","",HYPERLINK("https://www.ejacket.nsf.gov/ej/showProposal.do?Continue=Y&amp;ID="&amp;BudgetsTable[[#This Row],[prop_id]],BudgetsTable[[#This Row],[prop_id]]))</f>
        <v/>
      </c>
      <c r="M446" s="15" t="str">
        <f>IF(BudgetsTable[[#This Row],[pi_last_name]]=" ","",HYPERLINK("https://www.ejacket.nsf.gov/ej/processReviewAnalysis.do?dispatch=add&amp;uniqId="&amp;BudgetsTable[[#This Row],[prop_id]]&amp;PO_id,"&gt;ra"))</f>
        <v/>
      </c>
      <c r="N446" s="128" t="s">
        <v>13</v>
      </c>
      <c r="O446" s="7" t="str">
        <f>IF(BudgetsTable[[#This Row],[pi_last_name]]=" ","",HYPERLINK("mailto:"&amp;BudgetsTable[[#This Row],[pi_email]]&amp;"&amp;subject=Your NSF Proposal:  "&amp;BudgetsTable[[#This Row],[prop_id]],BudgetsTable[[#This Row],[pi_email]]))</f>
        <v/>
      </c>
      <c r="P446" s="128" t="s">
        <v>13</v>
      </c>
      <c r="Q446" s="128">
        <v>1</v>
      </c>
      <c r="R446" s="128">
        <v>1</v>
      </c>
      <c r="S446" s="129">
        <v>0</v>
      </c>
      <c r="T446" s="129">
        <v>4100</v>
      </c>
      <c r="U446" s="129">
        <v>0</v>
      </c>
      <c r="V446" s="130">
        <v>103527</v>
      </c>
      <c r="W446" s="128">
        <v>0</v>
      </c>
      <c r="X446" s="128">
        <v>2</v>
      </c>
      <c r="Y446" s="131" t="str">
        <f ca="1">IF(ISBLANK(BudgetsTable[[#This Row],[budg_seq_yr]]),"FY"&amp;fiscalyear,"FY"&amp;fiscalyear-1+BudgetsTable[[#This Row],[budg_seq_yr]])</f>
        <v>FY19</v>
      </c>
      <c r="Z446" s="129">
        <v>103527</v>
      </c>
      <c r="AA446" s="128" t="s">
        <v>741</v>
      </c>
      <c r="AB446" s="128" t="s">
        <v>528</v>
      </c>
      <c r="AC446" s="126" t="s">
        <v>94</v>
      </c>
      <c r="AD446" s="128" t="s">
        <v>744</v>
      </c>
    </row>
    <row r="447" spans="1:30">
      <c r="A447" s="125" t="s">
        <v>1624</v>
      </c>
      <c r="B447" s="126" t="s">
        <v>96</v>
      </c>
      <c r="C447" s="126">
        <f>C446+(BudgetsTable[[#This Row],[lead]]&lt;&gt;K446)</f>
        <v>89</v>
      </c>
      <c r="D447" s="126">
        <f>D446*(BudgetsTable[[#This Row],[lead]]=K446)+(BudgetsTable[[#This Row],[prop_id]]&lt;&gt;A446)</f>
        <v>1</v>
      </c>
      <c r="E447" s="127">
        <v>42935.387499999997</v>
      </c>
      <c r="F447" s="128" t="s">
        <v>242</v>
      </c>
      <c r="G447" s="128" t="s">
        <v>741</v>
      </c>
      <c r="H447" s="128" t="s">
        <v>528</v>
      </c>
      <c r="I447" s="126" t="s">
        <v>1530</v>
      </c>
      <c r="J447" s="126" t="s">
        <v>13</v>
      </c>
      <c r="K447" s="128" t="s">
        <v>1624</v>
      </c>
      <c r="L447" s="7" t="str">
        <f>IF(BudgetsTable[[#This Row],[pi_last_name]]=" ","",HYPERLINK("https://www.ejacket.nsf.gov/ej/showProposal.do?Continue=Y&amp;ID="&amp;BudgetsTable[[#This Row],[prop_id]],BudgetsTable[[#This Row],[prop_id]]))</f>
        <v/>
      </c>
      <c r="M447" s="15" t="str">
        <f>IF(BudgetsTable[[#This Row],[pi_last_name]]=" ","",HYPERLINK("https://www.ejacket.nsf.gov/ej/processReviewAnalysis.do?dispatch=add&amp;uniqId="&amp;BudgetsTable[[#This Row],[prop_id]]&amp;PO_id,"&gt;ra"))</f>
        <v/>
      </c>
      <c r="N447" s="128" t="s">
        <v>13</v>
      </c>
      <c r="O447" s="7" t="str">
        <f>IF(BudgetsTable[[#This Row],[pi_last_name]]=" ","",HYPERLINK("mailto:"&amp;BudgetsTable[[#This Row],[pi_email]]&amp;"&amp;subject=Your NSF Proposal:  "&amp;BudgetsTable[[#This Row],[prop_id]],BudgetsTable[[#This Row],[pi_email]]))</f>
        <v/>
      </c>
      <c r="P447" s="128" t="s">
        <v>13</v>
      </c>
      <c r="Q447" s="128">
        <v>1</v>
      </c>
      <c r="R447" s="128">
        <v>1</v>
      </c>
      <c r="S447" s="129">
        <v>0</v>
      </c>
      <c r="T447" s="129">
        <v>4203</v>
      </c>
      <c r="U447" s="129">
        <v>0</v>
      </c>
      <c r="V447" s="130">
        <v>106655</v>
      </c>
      <c r="W447" s="128">
        <v>0</v>
      </c>
      <c r="X447" s="128">
        <v>3</v>
      </c>
      <c r="Y447" s="131" t="str">
        <f ca="1">IF(ISBLANK(BudgetsTable[[#This Row],[budg_seq_yr]]),"FY"&amp;fiscalyear,"FY"&amp;fiscalyear-1+BudgetsTable[[#This Row],[budg_seq_yr]])</f>
        <v>FY20</v>
      </c>
      <c r="Z447" s="129">
        <v>106655</v>
      </c>
      <c r="AA447" s="128" t="s">
        <v>741</v>
      </c>
      <c r="AB447" s="128" t="s">
        <v>528</v>
      </c>
      <c r="AC447" s="126" t="s">
        <v>94</v>
      </c>
      <c r="AD447" s="128" t="s">
        <v>744</v>
      </c>
    </row>
    <row r="448" spans="1:30">
      <c r="A448" s="125" t="s">
        <v>1624</v>
      </c>
      <c r="B448" s="126" t="s">
        <v>96</v>
      </c>
      <c r="C448" s="126">
        <f>C447+(BudgetsTable[[#This Row],[lead]]&lt;&gt;K447)</f>
        <v>89</v>
      </c>
      <c r="D448" s="126">
        <f>D447*(BudgetsTable[[#This Row],[lead]]=K447)+(BudgetsTable[[#This Row],[prop_id]]&lt;&gt;A447)</f>
        <v>1</v>
      </c>
      <c r="E448" s="127">
        <v>42935.387499999997</v>
      </c>
      <c r="F448" s="128" t="s">
        <v>242</v>
      </c>
      <c r="G448" s="128" t="s">
        <v>741</v>
      </c>
      <c r="H448" s="128" t="s">
        <v>528</v>
      </c>
      <c r="I448" s="126" t="s">
        <v>1530</v>
      </c>
      <c r="J448" s="126" t="s">
        <v>13</v>
      </c>
      <c r="K448" s="128" t="s">
        <v>1624</v>
      </c>
      <c r="L448" s="7" t="str">
        <f>IF(BudgetsTable[[#This Row],[pi_last_name]]=" ","",HYPERLINK("https://www.ejacket.nsf.gov/ej/showProposal.do?Continue=Y&amp;ID="&amp;BudgetsTable[[#This Row],[prop_id]],BudgetsTable[[#This Row],[prop_id]]))</f>
        <v/>
      </c>
      <c r="M448" s="15" t="str">
        <f>IF(BudgetsTable[[#This Row],[pi_last_name]]=" ","",HYPERLINK("https://www.ejacket.nsf.gov/ej/processReviewAnalysis.do?dispatch=add&amp;uniqId="&amp;BudgetsTable[[#This Row],[prop_id]]&amp;PO_id,"&gt;ra"))</f>
        <v/>
      </c>
      <c r="N448" s="128" t="s">
        <v>13</v>
      </c>
      <c r="O448" s="7" t="str">
        <f>IF(BudgetsTable[[#This Row],[pi_last_name]]=" ","",HYPERLINK("mailto:"&amp;BudgetsTable[[#This Row],[pi_email]]&amp;"&amp;subject=Your NSF Proposal:  "&amp;BudgetsTable[[#This Row],[prop_id]],BudgetsTable[[#This Row],[pi_email]]))</f>
        <v/>
      </c>
      <c r="P448" s="128" t="s">
        <v>13</v>
      </c>
      <c r="Q448" s="128">
        <v>1</v>
      </c>
      <c r="R448" s="128">
        <v>2</v>
      </c>
      <c r="S448" s="129">
        <v>0</v>
      </c>
      <c r="T448" s="129">
        <v>4308</v>
      </c>
      <c r="U448" s="129">
        <v>0</v>
      </c>
      <c r="V448" s="130">
        <v>135919</v>
      </c>
      <c r="W448" s="128">
        <v>0</v>
      </c>
      <c r="X448" s="128">
        <v>4</v>
      </c>
      <c r="Y448" s="131" t="str">
        <f ca="1">IF(ISBLANK(BudgetsTable[[#This Row],[budg_seq_yr]]),"FY"&amp;fiscalyear,"FY"&amp;fiscalyear-1+BudgetsTable[[#This Row],[budg_seq_yr]])</f>
        <v>FY21</v>
      </c>
      <c r="Z448" s="129">
        <v>135919</v>
      </c>
      <c r="AA448" s="128" t="s">
        <v>741</v>
      </c>
      <c r="AB448" s="128" t="s">
        <v>528</v>
      </c>
      <c r="AC448" s="126" t="s">
        <v>94</v>
      </c>
      <c r="AD448" s="128" t="s">
        <v>744</v>
      </c>
    </row>
    <row r="449" spans="1:30">
      <c r="A449" s="125" t="s">
        <v>1624</v>
      </c>
      <c r="B449" s="126" t="s">
        <v>96</v>
      </c>
      <c r="C449" s="126">
        <f>C448+(BudgetsTable[[#This Row],[lead]]&lt;&gt;K448)</f>
        <v>89</v>
      </c>
      <c r="D449" s="126">
        <f>D448*(BudgetsTable[[#This Row],[lead]]=K448)+(BudgetsTable[[#This Row],[prop_id]]&lt;&gt;A448)</f>
        <v>1</v>
      </c>
      <c r="E449" s="127">
        <v>42935.387499999997</v>
      </c>
      <c r="F449" s="128" t="s">
        <v>242</v>
      </c>
      <c r="G449" s="128" t="s">
        <v>741</v>
      </c>
      <c r="H449" s="128" t="s">
        <v>528</v>
      </c>
      <c r="I449" s="126" t="s">
        <v>1530</v>
      </c>
      <c r="J449" s="126" t="s">
        <v>13</v>
      </c>
      <c r="K449" s="128" t="s">
        <v>1624</v>
      </c>
      <c r="L449" s="7" t="str">
        <f>IF(BudgetsTable[[#This Row],[pi_last_name]]=" ","",HYPERLINK("https://www.ejacket.nsf.gov/ej/showProposal.do?Continue=Y&amp;ID="&amp;BudgetsTable[[#This Row],[prop_id]],BudgetsTable[[#This Row],[prop_id]]))</f>
        <v/>
      </c>
      <c r="M449" s="15" t="str">
        <f>IF(BudgetsTable[[#This Row],[pi_last_name]]=" ","",HYPERLINK("https://www.ejacket.nsf.gov/ej/processReviewAnalysis.do?dispatch=add&amp;uniqId="&amp;BudgetsTable[[#This Row],[prop_id]]&amp;PO_id,"&gt;ra"))</f>
        <v/>
      </c>
      <c r="N449" s="128" t="s">
        <v>13</v>
      </c>
      <c r="O449" s="7" t="str">
        <f>IF(BudgetsTable[[#This Row],[pi_last_name]]=" ","",HYPERLINK("mailto:"&amp;BudgetsTable[[#This Row],[pi_email]]&amp;"&amp;subject=Your NSF Proposal:  "&amp;BudgetsTable[[#This Row],[prop_id]],BudgetsTable[[#This Row],[pi_email]]))</f>
        <v/>
      </c>
      <c r="P449" s="128" t="s">
        <v>13</v>
      </c>
      <c r="Q449" s="128">
        <v>1</v>
      </c>
      <c r="R449" s="128">
        <v>2</v>
      </c>
      <c r="S449" s="129">
        <v>0</v>
      </c>
      <c r="T449" s="129">
        <v>4415</v>
      </c>
      <c r="U449" s="129">
        <v>0</v>
      </c>
      <c r="V449" s="130">
        <v>139563</v>
      </c>
      <c r="W449" s="128">
        <v>0</v>
      </c>
      <c r="X449" s="128">
        <v>5</v>
      </c>
      <c r="Y449" s="131" t="str">
        <f ca="1">IF(ISBLANK(BudgetsTable[[#This Row],[budg_seq_yr]]),"FY"&amp;fiscalyear,"FY"&amp;fiscalyear-1+BudgetsTable[[#This Row],[budg_seq_yr]])</f>
        <v>FY22</v>
      </c>
      <c r="Z449" s="129">
        <v>139563</v>
      </c>
      <c r="AA449" s="128" t="s">
        <v>741</v>
      </c>
      <c r="AB449" s="128" t="s">
        <v>528</v>
      </c>
      <c r="AC449" s="126" t="s">
        <v>94</v>
      </c>
      <c r="AD449" s="128" t="s">
        <v>744</v>
      </c>
    </row>
    <row r="450" spans="1:30">
      <c r="A450" s="125" t="s">
        <v>1632</v>
      </c>
      <c r="B450" s="126" t="s">
        <v>96</v>
      </c>
      <c r="C450" s="126">
        <f>C449+(BudgetsTable[[#This Row],[lead]]&lt;&gt;K449)</f>
        <v>90</v>
      </c>
      <c r="D450" s="126">
        <f>D449*(BudgetsTable[[#This Row],[lead]]=K449)+(BudgetsTable[[#This Row],[prop_id]]&lt;&gt;A449)</f>
        <v>1</v>
      </c>
      <c r="E450" s="127">
        <v>42935.475694444445</v>
      </c>
      <c r="F450" s="128" t="s">
        <v>242</v>
      </c>
      <c r="G450" s="128" t="s">
        <v>741</v>
      </c>
      <c r="H450" s="128" t="s">
        <v>528</v>
      </c>
      <c r="I450" s="126" t="s">
        <v>1530</v>
      </c>
      <c r="J450" s="126" t="s">
        <v>2390</v>
      </c>
      <c r="K450" s="128" t="s">
        <v>1632</v>
      </c>
      <c r="L450" s="7" t="str">
        <f>IF(BudgetsTable[[#This Row],[pi_last_name]]=" ","",HYPERLINK("https://www.ejacket.nsf.gov/ej/showProposal.do?Continue=Y&amp;ID="&amp;BudgetsTable[[#This Row],[prop_id]],BudgetsTable[[#This Row],[prop_id]]))</f>
        <v>1750302</v>
      </c>
      <c r="M450" s="15" t="str">
        <f>IF(BudgetsTable[[#This Row],[pi_last_name]]=" ","",HYPERLINK("https://www.ejacket.nsf.gov/ej/processReviewAnalysis.do?dispatch=add&amp;uniqId="&amp;BudgetsTable[[#This Row],[prop_id]]&amp;PO_id,"&gt;ra"))</f>
        <v>&gt;ra</v>
      </c>
      <c r="N450" s="128" t="s">
        <v>1633</v>
      </c>
      <c r="O450" s="7" t="str">
        <f>IF(BudgetsTable[[#This Row],[pi_last_name]]=" ","",HYPERLINK("mailto:"&amp;BudgetsTable[[#This Row],[pi_email]]&amp;"&amp;subject=Your NSF Proposal:  "&amp;BudgetsTable[[#This Row],[prop_id]],BudgetsTable[[#This Row],[pi_email]]))</f>
        <v>mdinitz@cs.jhu.edu</v>
      </c>
      <c r="P450" s="128" t="s">
        <v>1983</v>
      </c>
      <c r="Q450" s="128"/>
      <c r="R450" s="128"/>
      <c r="S450" s="129"/>
      <c r="T450" s="129"/>
      <c r="U450" s="129"/>
      <c r="V450" s="130"/>
      <c r="W450" s="128">
        <v>0</v>
      </c>
      <c r="X450" s="128"/>
      <c r="Y450" s="131" t="str">
        <f ca="1">IF(ISBLANK(BudgetsTable[[#This Row],[budg_seq_yr]]),"FY"&amp;fiscalyear,"FY"&amp;fiscalyear-1+BudgetsTable[[#This Row],[budg_seq_yr]])</f>
        <v>FY18</v>
      </c>
      <c r="Z450" s="129">
        <v>507459</v>
      </c>
      <c r="AA450" s="128" t="s">
        <v>741</v>
      </c>
      <c r="AB450" s="128" t="s">
        <v>528</v>
      </c>
      <c r="AC450" s="126" t="s">
        <v>94</v>
      </c>
      <c r="AD450" s="128" t="s">
        <v>744</v>
      </c>
    </row>
    <row r="451" spans="1:30">
      <c r="A451" s="125" t="s">
        <v>1632</v>
      </c>
      <c r="B451" s="126" t="s">
        <v>96</v>
      </c>
      <c r="C451" s="126">
        <f>C450+(BudgetsTable[[#This Row],[lead]]&lt;&gt;K450)</f>
        <v>90</v>
      </c>
      <c r="D451" s="126">
        <f>D450*(BudgetsTable[[#This Row],[lead]]=K450)+(BudgetsTable[[#This Row],[prop_id]]&lt;&gt;A450)</f>
        <v>1</v>
      </c>
      <c r="E451" s="127">
        <v>42935.475694444445</v>
      </c>
      <c r="F451" s="128" t="s">
        <v>242</v>
      </c>
      <c r="G451" s="128" t="s">
        <v>741</v>
      </c>
      <c r="H451" s="128" t="s">
        <v>528</v>
      </c>
      <c r="I451" s="126" t="s">
        <v>1530</v>
      </c>
      <c r="J451" s="126" t="s">
        <v>13</v>
      </c>
      <c r="K451" s="128" t="s">
        <v>1632</v>
      </c>
      <c r="L451" s="7" t="str">
        <f>IF(BudgetsTable[[#This Row],[pi_last_name]]=" ","",HYPERLINK("https://www.ejacket.nsf.gov/ej/showProposal.do?Continue=Y&amp;ID="&amp;BudgetsTable[[#This Row],[prop_id]],BudgetsTable[[#This Row],[prop_id]]))</f>
        <v/>
      </c>
      <c r="M451" s="15" t="str">
        <f>IF(BudgetsTable[[#This Row],[pi_last_name]]=" ","",HYPERLINK("https://www.ejacket.nsf.gov/ej/processReviewAnalysis.do?dispatch=add&amp;uniqId="&amp;BudgetsTable[[#This Row],[prop_id]]&amp;PO_id,"&gt;ra"))</f>
        <v/>
      </c>
      <c r="N451" s="128" t="s">
        <v>13</v>
      </c>
      <c r="O451" s="7" t="str">
        <f>IF(BudgetsTable[[#This Row],[pi_last_name]]=" ","",HYPERLINK("mailto:"&amp;BudgetsTable[[#This Row],[pi_email]]&amp;"&amp;subject=Your NSF Proposal:  "&amp;BudgetsTable[[#This Row],[prop_id]],BudgetsTable[[#This Row],[pi_email]]))</f>
        <v/>
      </c>
      <c r="P451" s="128" t="s">
        <v>13</v>
      </c>
      <c r="Q451" s="128">
        <v>1</v>
      </c>
      <c r="R451" s="128">
        <v>0</v>
      </c>
      <c r="S451" s="129">
        <v>0</v>
      </c>
      <c r="T451" s="129">
        <v>2100</v>
      </c>
      <c r="U451" s="129">
        <v>0</v>
      </c>
      <c r="V451" s="130">
        <v>102907</v>
      </c>
      <c r="W451" s="128">
        <v>0</v>
      </c>
      <c r="X451" s="128">
        <v>1</v>
      </c>
      <c r="Y451" s="131" t="str">
        <f ca="1">IF(ISBLANK(BudgetsTable[[#This Row],[budg_seq_yr]]),"FY"&amp;fiscalyear,"FY"&amp;fiscalyear-1+BudgetsTable[[#This Row],[budg_seq_yr]])</f>
        <v>FY18</v>
      </c>
      <c r="Z451" s="129">
        <v>102907</v>
      </c>
      <c r="AA451" s="128" t="s">
        <v>741</v>
      </c>
      <c r="AB451" s="128" t="s">
        <v>528</v>
      </c>
      <c r="AC451" s="126" t="s">
        <v>94</v>
      </c>
      <c r="AD451" s="128" t="s">
        <v>744</v>
      </c>
    </row>
    <row r="452" spans="1:30">
      <c r="A452" s="125" t="s">
        <v>1632</v>
      </c>
      <c r="B452" s="126" t="s">
        <v>96</v>
      </c>
      <c r="C452" s="126">
        <f>C451+(BudgetsTable[[#This Row],[lead]]&lt;&gt;K451)</f>
        <v>90</v>
      </c>
      <c r="D452" s="126">
        <f>D451*(BudgetsTable[[#This Row],[lead]]=K451)+(BudgetsTable[[#This Row],[prop_id]]&lt;&gt;A451)</f>
        <v>1</v>
      </c>
      <c r="E452" s="127">
        <v>42935.475694444445</v>
      </c>
      <c r="F452" s="128" t="s">
        <v>242</v>
      </c>
      <c r="G452" s="128" t="s">
        <v>741</v>
      </c>
      <c r="H452" s="128" t="s">
        <v>528</v>
      </c>
      <c r="I452" s="126" t="s">
        <v>1530</v>
      </c>
      <c r="J452" s="126" t="s">
        <v>13</v>
      </c>
      <c r="K452" s="128" t="s">
        <v>1632</v>
      </c>
      <c r="L452" s="7" t="str">
        <f>IF(BudgetsTable[[#This Row],[pi_last_name]]=" ","",HYPERLINK("https://www.ejacket.nsf.gov/ej/showProposal.do?Continue=Y&amp;ID="&amp;BudgetsTable[[#This Row],[prop_id]],BudgetsTable[[#This Row],[prop_id]]))</f>
        <v/>
      </c>
      <c r="M452" s="15" t="str">
        <f>IF(BudgetsTable[[#This Row],[pi_last_name]]=" ","",HYPERLINK("https://www.ejacket.nsf.gov/ej/processReviewAnalysis.do?dispatch=add&amp;uniqId="&amp;BudgetsTable[[#This Row],[prop_id]]&amp;PO_id,"&gt;ra"))</f>
        <v/>
      </c>
      <c r="N452" s="128" t="s">
        <v>13</v>
      </c>
      <c r="O452" s="7" t="str">
        <f>IF(BudgetsTable[[#This Row],[pi_last_name]]=" ","",HYPERLINK("mailto:"&amp;BudgetsTable[[#This Row],[pi_email]]&amp;"&amp;subject=Your NSF Proposal:  "&amp;BudgetsTable[[#This Row],[prop_id]],BudgetsTable[[#This Row],[pi_email]]))</f>
        <v/>
      </c>
      <c r="P452" s="128" t="s">
        <v>13</v>
      </c>
      <c r="Q452" s="128">
        <v>1</v>
      </c>
      <c r="R452" s="128">
        <v>0</v>
      </c>
      <c r="S452" s="129">
        <v>0</v>
      </c>
      <c r="T452" s="129">
        <v>2100</v>
      </c>
      <c r="U452" s="129">
        <v>0</v>
      </c>
      <c r="V452" s="130">
        <v>101935</v>
      </c>
      <c r="W452" s="128">
        <v>0</v>
      </c>
      <c r="X452" s="128">
        <v>2</v>
      </c>
      <c r="Y452" s="131" t="str">
        <f ca="1">IF(ISBLANK(BudgetsTable[[#This Row],[budg_seq_yr]]),"FY"&amp;fiscalyear,"FY"&amp;fiscalyear-1+BudgetsTable[[#This Row],[budg_seq_yr]])</f>
        <v>FY19</v>
      </c>
      <c r="Z452" s="129">
        <v>101935</v>
      </c>
      <c r="AA452" s="128" t="s">
        <v>741</v>
      </c>
      <c r="AB452" s="128" t="s">
        <v>528</v>
      </c>
      <c r="AC452" s="126" t="s">
        <v>94</v>
      </c>
      <c r="AD452" s="128" t="s">
        <v>744</v>
      </c>
    </row>
    <row r="453" spans="1:30">
      <c r="A453" s="125" t="s">
        <v>1632</v>
      </c>
      <c r="B453" s="126" t="s">
        <v>96</v>
      </c>
      <c r="C453" s="126">
        <f>C452+(BudgetsTable[[#This Row],[lead]]&lt;&gt;K452)</f>
        <v>90</v>
      </c>
      <c r="D453" s="126">
        <f>D452*(BudgetsTable[[#This Row],[lead]]=K452)+(BudgetsTable[[#This Row],[prop_id]]&lt;&gt;A452)</f>
        <v>1</v>
      </c>
      <c r="E453" s="127">
        <v>42935.475694444445</v>
      </c>
      <c r="F453" s="128" t="s">
        <v>242</v>
      </c>
      <c r="G453" s="128" t="s">
        <v>741</v>
      </c>
      <c r="H453" s="128" t="s">
        <v>528</v>
      </c>
      <c r="I453" s="126" t="s">
        <v>1530</v>
      </c>
      <c r="J453" s="126" t="s">
        <v>13</v>
      </c>
      <c r="K453" s="128" t="s">
        <v>1632</v>
      </c>
      <c r="L453" s="7" t="str">
        <f>IF(BudgetsTable[[#This Row],[pi_last_name]]=" ","",HYPERLINK("https://www.ejacket.nsf.gov/ej/showProposal.do?Continue=Y&amp;ID="&amp;BudgetsTable[[#This Row],[prop_id]],BudgetsTable[[#This Row],[prop_id]]))</f>
        <v/>
      </c>
      <c r="M453" s="15" t="str">
        <f>IF(BudgetsTable[[#This Row],[pi_last_name]]=" ","",HYPERLINK("https://www.ejacket.nsf.gov/ej/processReviewAnalysis.do?dispatch=add&amp;uniqId="&amp;BudgetsTable[[#This Row],[prop_id]]&amp;PO_id,"&gt;ra"))</f>
        <v/>
      </c>
      <c r="N453" s="128" t="s">
        <v>13</v>
      </c>
      <c r="O453" s="7" t="str">
        <f>IF(BudgetsTable[[#This Row],[pi_last_name]]=" ","",HYPERLINK("mailto:"&amp;BudgetsTable[[#This Row],[pi_email]]&amp;"&amp;subject=Your NSF Proposal:  "&amp;BudgetsTable[[#This Row],[prop_id]],BudgetsTable[[#This Row],[pi_email]]))</f>
        <v/>
      </c>
      <c r="P453" s="128" t="s">
        <v>13</v>
      </c>
      <c r="Q453" s="128">
        <v>1</v>
      </c>
      <c r="R453" s="128">
        <v>0</v>
      </c>
      <c r="S453" s="129">
        <v>0</v>
      </c>
      <c r="T453" s="129">
        <v>0</v>
      </c>
      <c r="U453" s="129">
        <v>0</v>
      </c>
      <c r="V453" s="130">
        <v>100630</v>
      </c>
      <c r="W453" s="128">
        <v>0</v>
      </c>
      <c r="X453" s="128">
        <v>3</v>
      </c>
      <c r="Y453" s="131" t="str">
        <f ca="1">IF(ISBLANK(BudgetsTable[[#This Row],[budg_seq_yr]]),"FY"&amp;fiscalyear,"FY"&amp;fiscalyear-1+BudgetsTable[[#This Row],[budg_seq_yr]])</f>
        <v>FY20</v>
      </c>
      <c r="Z453" s="129">
        <v>100630</v>
      </c>
      <c r="AA453" s="128" t="s">
        <v>741</v>
      </c>
      <c r="AB453" s="128" t="s">
        <v>528</v>
      </c>
      <c r="AC453" s="126" t="s">
        <v>94</v>
      </c>
      <c r="AD453" s="128" t="s">
        <v>744</v>
      </c>
    </row>
    <row r="454" spans="1:30">
      <c r="A454" s="125" t="s">
        <v>1632</v>
      </c>
      <c r="B454" s="126" t="s">
        <v>96</v>
      </c>
      <c r="C454" s="126">
        <f>C453+(BudgetsTable[[#This Row],[lead]]&lt;&gt;K453)</f>
        <v>90</v>
      </c>
      <c r="D454" s="126">
        <f>D453*(BudgetsTable[[#This Row],[lead]]=K453)+(BudgetsTable[[#This Row],[prop_id]]&lt;&gt;A453)</f>
        <v>1</v>
      </c>
      <c r="E454" s="127">
        <v>42935.475694444445</v>
      </c>
      <c r="F454" s="128" t="s">
        <v>242</v>
      </c>
      <c r="G454" s="128" t="s">
        <v>741</v>
      </c>
      <c r="H454" s="128" t="s">
        <v>528</v>
      </c>
      <c r="I454" s="126" t="s">
        <v>1530</v>
      </c>
      <c r="J454" s="126" t="s">
        <v>13</v>
      </c>
      <c r="K454" s="128" t="s">
        <v>1632</v>
      </c>
      <c r="L454" s="7" t="str">
        <f>IF(BudgetsTable[[#This Row],[pi_last_name]]=" ","",HYPERLINK("https://www.ejacket.nsf.gov/ej/showProposal.do?Continue=Y&amp;ID="&amp;BudgetsTable[[#This Row],[prop_id]],BudgetsTable[[#This Row],[prop_id]]))</f>
        <v/>
      </c>
      <c r="M454" s="15" t="str">
        <f>IF(BudgetsTable[[#This Row],[pi_last_name]]=" ","",HYPERLINK("https://www.ejacket.nsf.gov/ej/processReviewAnalysis.do?dispatch=add&amp;uniqId="&amp;BudgetsTable[[#This Row],[prop_id]]&amp;PO_id,"&gt;ra"))</f>
        <v/>
      </c>
      <c r="N454" s="128" t="s">
        <v>13</v>
      </c>
      <c r="O454" s="7" t="str">
        <f>IF(BudgetsTable[[#This Row],[pi_last_name]]=" ","",HYPERLINK("mailto:"&amp;BudgetsTable[[#This Row],[pi_email]]&amp;"&amp;subject=Your NSF Proposal:  "&amp;BudgetsTable[[#This Row],[prop_id]],BudgetsTable[[#This Row],[pi_email]]))</f>
        <v/>
      </c>
      <c r="P454" s="128" t="s">
        <v>13</v>
      </c>
      <c r="Q454" s="128">
        <v>1</v>
      </c>
      <c r="R454" s="128">
        <v>0</v>
      </c>
      <c r="S454" s="129">
        <v>0</v>
      </c>
      <c r="T454" s="129">
        <v>0</v>
      </c>
      <c r="U454" s="129">
        <v>0</v>
      </c>
      <c r="V454" s="130">
        <v>99873</v>
      </c>
      <c r="W454" s="128">
        <v>0</v>
      </c>
      <c r="X454" s="128">
        <v>4</v>
      </c>
      <c r="Y454" s="131" t="str">
        <f ca="1">IF(ISBLANK(BudgetsTable[[#This Row],[budg_seq_yr]]),"FY"&amp;fiscalyear,"FY"&amp;fiscalyear-1+BudgetsTable[[#This Row],[budg_seq_yr]])</f>
        <v>FY21</v>
      </c>
      <c r="Z454" s="129">
        <v>99873</v>
      </c>
      <c r="AA454" s="128" t="s">
        <v>741</v>
      </c>
      <c r="AB454" s="128" t="s">
        <v>528</v>
      </c>
      <c r="AC454" s="126" t="s">
        <v>94</v>
      </c>
      <c r="AD454" s="128" t="s">
        <v>744</v>
      </c>
    </row>
    <row r="455" spans="1:30">
      <c r="A455" s="125" t="s">
        <v>1632</v>
      </c>
      <c r="B455" s="126" t="s">
        <v>96</v>
      </c>
      <c r="C455" s="126">
        <f>C454+(BudgetsTable[[#This Row],[lead]]&lt;&gt;K454)</f>
        <v>90</v>
      </c>
      <c r="D455" s="126">
        <f>D454*(BudgetsTable[[#This Row],[lead]]=K454)+(BudgetsTable[[#This Row],[prop_id]]&lt;&gt;A454)</f>
        <v>1</v>
      </c>
      <c r="E455" s="127">
        <v>42935.475694444445</v>
      </c>
      <c r="F455" s="128" t="s">
        <v>242</v>
      </c>
      <c r="G455" s="128" t="s">
        <v>741</v>
      </c>
      <c r="H455" s="128" t="s">
        <v>528</v>
      </c>
      <c r="I455" s="126" t="s">
        <v>1530</v>
      </c>
      <c r="J455" s="126" t="s">
        <v>13</v>
      </c>
      <c r="K455" s="128" t="s">
        <v>1632</v>
      </c>
      <c r="L455" s="7" t="str">
        <f>IF(BudgetsTable[[#This Row],[pi_last_name]]=" ","",HYPERLINK("https://www.ejacket.nsf.gov/ej/showProposal.do?Continue=Y&amp;ID="&amp;BudgetsTable[[#This Row],[prop_id]],BudgetsTable[[#This Row],[prop_id]]))</f>
        <v/>
      </c>
      <c r="M455" s="15" t="str">
        <f>IF(BudgetsTable[[#This Row],[pi_last_name]]=" ","",HYPERLINK("https://www.ejacket.nsf.gov/ej/processReviewAnalysis.do?dispatch=add&amp;uniqId="&amp;BudgetsTable[[#This Row],[prop_id]]&amp;PO_id,"&gt;ra"))</f>
        <v/>
      </c>
      <c r="N455" s="128" t="s">
        <v>13</v>
      </c>
      <c r="O455" s="7" t="str">
        <f>IF(BudgetsTable[[#This Row],[pi_last_name]]=" ","",HYPERLINK("mailto:"&amp;BudgetsTable[[#This Row],[pi_email]]&amp;"&amp;subject=Your NSF Proposal:  "&amp;BudgetsTable[[#This Row],[prop_id]],BudgetsTable[[#This Row],[pi_email]]))</f>
        <v/>
      </c>
      <c r="P455" s="128" t="s">
        <v>13</v>
      </c>
      <c r="Q455" s="128">
        <v>1</v>
      </c>
      <c r="R455" s="128">
        <v>0</v>
      </c>
      <c r="S455" s="129">
        <v>0</v>
      </c>
      <c r="T455" s="129">
        <v>0</v>
      </c>
      <c r="U455" s="129">
        <v>0</v>
      </c>
      <c r="V455" s="130">
        <v>102114</v>
      </c>
      <c r="W455" s="128">
        <v>0</v>
      </c>
      <c r="X455" s="128">
        <v>5</v>
      </c>
      <c r="Y455" s="131" t="str">
        <f ca="1">IF(ISBLANK(BudgetsTable[[#This Row],[budg_seq_yr]]),"FY"&amp;fiscalyear,"FY"&amp;fiscalyear-1+BudgetsTable[[#This Row],[budg_seq_yr]])</f>
        <v>FY22</v>
      </c>
      <c r="Z455" s="129">
        <v>102114</v>
      </c>
      <c r="AA455" s="128" t="s">
        <v>741</v>
      </c>
      <c r="AB455" s="128" t="s">
        <v>528</v>
      </c>
      <c r="AC455" s="126" t="s">
        <v>94</v>
      </c>
      <c r="AD455" s="128" t="s">
        <v>744</v>
      </c>
    </row>
    <row r="456" spans="1:30">
      <c r="A456" s="125" t="s">
        <v>1640</v>
      </c>
      <c r="B456" s="126" t="s">
        <v>96</v>
      </c>
      <c r="C456" s="126">
        <f>C455+(BudgetsTable[[#This Row],[lead]]&lt;&gt;K455)</f>
        <v>91</v>
      </c>
      <c r="D456" s="126">
        <f>D455*(BudgetsTable[[#This Row],[lead]]=K455)+(BudgetsTable[[#This Row],[prop_id]]&lt;&gt;A455)</f>
        <v>1</v>
      </c>
      <c r="E456" s="127">
        <v>42935.488888888889</v>
      </c>
      <c r="F456" s="128" t="s">
        <v>242</v>
      </c>
      <c r="G456" s="128" t="s">
        <v>741</v>
      </c>
      <c r="H456" s="128" t="s">
        <v>528</v>
      </c>
      <c r="I456" s="126" t="s">
        <v>1530</v>
      </c>
      <c r="J456" s="126" t="s">
        <v>2394</v>
      </c>
      <c r="K456" s="128" t="s">
        <v>1640</v>
      </c>
      <c r="L456" s="7" t="str">
        <f>IF(BudgetsTable[[#This Row],[pi_last_name]]=" ","",HYPERLINK("https://www.ejacket.nsf.gov/ej/showProposal.do?Continue=Y&amp;ID="&amp;BudgetsTable[[#This Row],[prop_id]],BudgetsTable[[#This Row],[prop_id]]))</f>
        <v>1750333</v>
      </c>
      <c r="M456" s="15" t="str">
        <f>IF(BudgetsTable[[#This Row],[pi_last_name]]=" ","",HYPERLINK("https://www.ejacket.nsf.gov/ej/processReviewAnalysis.do?dispatch=add&amp;uniqId="&amp;BudgetsTable[[#This Row],[prop_id]]&amp;PO_id,"&gt;ra"))</f>
        <v>&gt;ra</v>
      </c>
      <c r="N456" s="128" t="s">
        <v>1641</v>
      </c>
      <c r="O456" s="7" t="str">
        <f>IF(BudgetsTable[[#This Row],[pi_last_name]]=" ","",HYPERLINK("mailto:"&amp;BudgetsTable[[#This Row],[pi_email]]&amp;"&amp;subject=Your NSF Proposal:  "&amp;BudgetsTable[[#This Row],[prop_id]],BudgetsTable[[#This Row],[pi_email]]))</f>
        <v>aene@bu.edu</v>
      </c>
      <c r="P456" s="128" t="s">
        <v>2287</v>
      </c>
      <c r="Q456" s="128"/>
      <c r="R456" s="128"/>
      <c r="S456" s="129"/>
      <c r="T456" s="129"/>
      <c r="U456" s="129"/>
      <c r="V456" s="130"/>
      <c r="W456" s="128">
        <v>0</v>
      </c>
      <c r="X456" s="128"/>
      <c r="Y456" s="131" t="str">
        <f ca="1">IF(ISBLANK(BudgetsTable[[#This Row],[budg_seq_yr]]),"FY"&amp;fiscalyear,"FY"&amp;fiscalyear-1+BudgetsTable[[#This Row],[budg_seq_yr]])</f>
        <v>FY18</v>
      </c>
      <c r="Z456" s="129">
        <v>507423</v>
      </c>
      <c r="AA456" s="128" t="s">
        <v>741</v>
      </c>
      <c r="AB456" s="128" t="s">
        <v>528</v>
      </c>
      <c r="AC456" s="126" t="s">
        <v>94</v>
      </c>
      <c r="AD456" s="128" t="s">
        <v>744</v>
      </c>
    </row>
    <row r="457" spans="1:30">
      <c r="A457" s="125" t="s">
        <v>1640</v>
      </c>
      <c r="B457" s="126" t="s">
        <v>96</v>
      </c>
      <c r="C457" s="126">
        <f>C456+(BudgetsTable[[#This Row],[lead]]&lt;&gt;K456)</f>
        <v>91</v>
      </c>
      <c r="D457" s="126">
        <f>D456*(BudgetsTable[[#This Row],[lead]]=K456)+(BudgetsTable[[#This Row],[prop_id]]&lt;&gt;A456)</f>
        <v>1</v>
      </c>
      <c r="E457" s="127">
        <v>42935.488888888889</v>
      </c>
      <c r="F457" s="128" t="s">
        <v>242</v>
      </c>
      <c r="G457" s="128" t="s">
        <v>741</v>
      </c>
      <c r="H457" s="128" t="s">
        <v>528</v>
      </c>
      <c r="I457" s="126" t="s">
        <v>1530</v>
      </c>
      <c r="J457" s="126" t="s">
        <v>13</v>
      </c>
      <c r="K457" s="128" t="s">
        <v>1640</v>
      </c>
      <c r="L457" s="7" t="str">
        <f>IF(BudgetsTable[[#This Row],[pi_last_name]]=" ","",HYPERLINK("https://www.ejacket.nsf.gov/ej/showProposal.do?Continue=Y&amp;ID="&amp;BudgetsTable[[#This Row],[prop_id]],BudgetsTable[[#This Row],[prop_id]]))</f>
        <v/>
      </c>
      <c r="M457" s="15" t="str">
        <f>IF(BudgetsTable[[#This Row],[pi_last_name]]=" ","",HYPERLINK("https://www.ejacket.nsf.gov/ej/processReviewAnalysis.do?dispatch=add&amp;uniqId="&amp;BudgetsTable[[#This Row],[prop_id]]&amp;PO_id,"&gt;ra"))</f>
        <v/>
      </c>
      <c r="N457" s="128" t="s">
        <v>13</v>
      </c>
      <c r="O457" s="7" t="str">
        <f>IF(BudgetsTable[[#This Row],[pi_last_name]]=" ","",HYPERLINK("mailto:"&amp;BudgetsTable[[#This Row],[pi_email]]&amp;"&amp;subject=Your NSF Proposal:  "&amp;BudgetsTable[[#This Row],[prop_id]],BudgetsTable[[#This Row],[pi_email]]))</f>
        <v/>
      </c>
      <c r="P457" s="128" t="s">
        <v>13</v>
      </c>
      <c r="Q457" s="128">
        <v>1</v>
      </c>
      <c r="R457" s="128">
        <v>1</v>
      </c>
      <c r="S457" s="129">
        <v>0</v>
      </c>
      <c r="T457" s="129">
        <v>3000</v>
      </c>
      <c r="U457" s="129">
        <v>0</v>
      </c>
      <c r="V457" s="130">
        <v>99138</v>
      </c>
      <c r="W457" s="128">
        <v>0</v>
      </c>
      <c r="X457" s="128">
        <v>1</v>
      </c>
      <c r="Y457" s="131" t="str">
        <f ca="1">IF(ISBLANK(BudgetsTable[[#This Row],[budg_seq_yr]]),"FY"&amp;fiscalyear,"FY"&amp;fiscalyear-1+BudgetsTable[[#This Row],[budg_seq_yr]])</f>
        <v>FY18</v>
      </c>
      <c r="Z457" s="129">
        <v>99138</v>
      </c>
      <c r="AA457" s="128" t="s">
        <v>741</v>
      </c>
      <c r="AB457" s="128" t="s">
        <v>528</v>
      </c>
      <c r="AC457" s="126" t="s">
        <v>94</v>
      </c>
      <c r="AD457" s="128" t="s">
        <v>744</v>
      </c>
    </row>
    <row r="458" spans="1:30">
      <c r="A458" s="125" t="s">
        <v>1640</v>
      </c>
      <c r="B458" s="126" t="s">
        <v>96</v>
      </c>
      <c r="C458" s="126">
        <f>C457+(BudgetsTable[[#This Row],[lead]]&lt;&gt;K457)</f>
        <v>91</v>
      </c>
      <c r="D458" s="126">
        <f>D457*(BudgetsTable[[#This Row],[lead]]=K457)+(BudgetsTable[[#This Row],[prop_id]]&lt;&gt;A457)</f>
        <v>1</v>
      </c>
      <c r="E458" s="127">
        <v>42935.488888888889</v>
      </c>
      <c r="F458" s="128" t="s">
        <v>242</v>
      </c>
      <c r="G458" s="128" t="s">
        <v>741</v>
      </c>
      <c r="H458" s="128" t="s">
        <v>528</v>
      </c>
      <c r="I458" s="126" t="s">
        <v>1530</v>
      </c>
      <c r="J458" s="126" t="s">
        <v>13</v>
      </c>
      <c r="K458" s="128" t="s">
        <v>1640</v>
      </c>
      <c r="L458" s="7" t="str">
        <f>IF(BudgetsTable[[#This Row],[pi_last_name]]=" ","",HYPERLINK("https://www.ejacket.nsf.gov/ej/showProposal.do?Continue=Y&amp;ID="&amp;BudgetsTable[[#This Row],[prop_id]],BudgetsTable[[#This Row],[prop_id]]))</f>
        <v/>
      </c>
      <c r="M458" s="15" t="str">
        <f>IF(BudgetsTable[[#This Row],[pi_last_name]]=" ","",HYPERLINK("https://www.ejacket.nsf.gov/ej/processReviewAnalysis.do?dispatch=add&amp;uniqId="&amp;BudgetsTable[[#This Row],[prop_id]]&amp;PO_id,"&gt;ra"))</f>
        <v/>
      </c>
      <c r="N458" s="128" t="s">
        <v>13</v>
      </c>
      <c r="O458" s="7" t="str">
        <f>IF(BudgetsTable[[#This Row],[pi_last_name]]=" ","",HYPERLINK("mailto:"&amp;BudgetsTable[[#This Row],[pi_email]]&amp;"&amp;subject=Your NSF Proposal:  "&amp;BudgetsTable[[#This Row],[prop_id]],BudgetsTable[[#This Row],[pi_email]]))</f>
        <v/>
      </c>
      <c r="P458" s="128" t="s">
        <v>13</v>
      </c>
      <c r="Q458" s="128">
        <v>1</v>
      </c>
      <c r="R458" s="128">
        <v>1</v>
      </c>
      <c r="S458" s="129">
        <v>0</v>
      </c>
      <c r="T458" s="129">
        <v>3000</v>
      </c>
      <c r="U458" s="129">
        <v>0</v>
      </c>
      <c r="V458" s="130">
        <v>97771</v>
      </c>
      <c r="W458" s="128">
        <v>0</v>
      </c>
      <c r="X458" s="128">
        <v>2</v>
      </c>
      <c r="Y458" s="131" t="str">
        <f ca="1">IF(ISBLANK(BudgetsTable[[#This Row],[budg_seq_yr]]),"FY"&amp;fiscalyear,"FY"&amp;fiscalyear-1+BudgetsTable[[#This Row],[budg_seq_yr]])</f>
        <v>FY19</v>
      </c>
      <c r="Z458" s="129">
        <v>97771</v>
      </c>
      <c r="AA458" s="128" t="s">
        <v>741</v>
      </c>
      <c r="AB458" s="128" t="s">
        <v>528</v>
      </c>
      <c r="AC458" s="126" t="s">
        <v>94</v>
      </c>
      <c r="AD458" s="128" t="s">
        <v>744</v>
      </c>
    </row>
    <row r="459" spans="1:30">
      <c r="A459" s="125" t="s">
        <v>1640</v>
      </c>
      <c r="B459" s="126" t="s">
        <v>96</v>
      </c>
      <c r="C459" s="126">
        <f>C458+(BudgetsTable[[#This Row],[lead]]&lt;&gt;K458)</f>
        <v>91</v>
      </c>
      <c r="D459" s="126">
        <f>D458*(BudgetsTable[[#This Row],[lead]]=K458)+(BudgetsTable[[#This Row],[prop_id]]&lt;&gt;A458)</f>
        <v>1</v>
      </c>
      <c r="E459" s="127">
        <v>42935.488888888889</v>
      </c>
      <c r="F459" s="128" t="s">
        <v>242</v>
      </c>
      <c r="G459" s="128" t="s">
        <v>741</v>
      </c>
      <c r="H459" s="128" t="s">
        <v>528</v>
      </c>
      <c r="I459" s="126" t="s">
        <v>1530</v>
      </c>
      <c r="J459" s="126" t="s">
        <v>13</v>
      </c>
      <c r="K459" s="128" t="s">
        <v>1640</v>
      </c>
      <c r="L459" s="7" t="str">
        <f>IF(BudgetsTable[[#This Row],[pi_last_name]]=" ","",HYPERLINK("https://www.ejacket.nsf.gov/ej/showProposal.do?Continue=Y&amp;ID="&amp;BudgetsTable[[#This Row],[prop_id]],BudgetsTable[[#This Row],[prop_id]]))</f>
        <v/>
      </c>
      <c r="M459" s="15" t="str">
        <f>IF(BudgetsTable[[#This Row],[pi_last_name]]=" ","",HYPERLINK("https://www.ejacket.nsf.gov/ej/processReviewAnalysis.do?dispatch=add&amp;uniqId="&amp;BudgetsTable[[#This Row],[prop_id]]&amp;PO_id,"&gt;ra"))</f>
        <v/>
      </c>
      <c r="N459" s="128" t="s">
        <v>13</v>
      </c>
      <c r="O459" s="7" t="str">
        <f>IF(BudgetsTable[[#This Row],[pi_last_name]]=" ","",HYPERLINK("mailto:"&amp;BudgetsTable[[#This Row],[pi_email]]&amp;"&amp;subject=Your NSF Proposal:  "&amp;BudgetsTable[[#This Row],[prop_id]],BudgetsTable[[#This Row],[pi_email]]))</f>
        <v/>
      </c>
      <c r="P459" s="128" t="s">
        <v>13</v>
      </c>
      <c r="Q459" s="128">
        <v>1</v>
      </c>
      <c r="R459" s="128">
        <v>1</v>
      </c>
      <c r="S459" s="129">
        <v>0</v>
      </c>
      <c r="T459" s="129">
        <v>3000</v>
      </c>
      <c r="U459" s="129">
        <v>0</v>
      </c>
      <c r="V459" s="130">
        <v>100459</v>
      </c>
      <c r="W459" s="128">
        <v>0</v>
      </c>
      <c r="X459" s="128">
        <v>3</v>
      </c>
      <c r="Y459" s="131" t="str">
        <f ca="1">IF(ISBLANK(BudgetsTable[[#This Row],[budg_seq_yr]]),"FY"&amp;fiscalyear,"FY"&amp;fiscalyear-1+BudgetsTable[[#This Row],[budg_seq_yr]])</f>
        <v>FY20</v>
      </c>
      <c r="Z459" s="129">
        <v>100459</v>
      </c>
      <c r="AA459" s="128" t="s">
        <v>741</v>
      </c>
      <c r="AB459" s="128" t="s">
        <v>528</v>
      </c>
      <c r="AC459" s="126" t="s">
        <v>94</v>
      </c>
      <c r="AD459" s="128" t="s">
        <v>744</v>
      </c>
    </row>
    <row r="460" spans="1:30">
      <c r="A460" s="125" t="s">
        <v>1640</v>
      </c>
      <c r="B460" s="126" t="s">
        <v>96</v>
      </c>
      <c r="C460" s="126">
        <f>C459+(BudgetsTable[[#This Row],[lead]]&lt;&gt;K459)</f>
        <v>91</v>
      </c>
      <c r="D460" s="126">
        <f>D459*(BudgetsTable[[#This Row],[lead]]=K459)+(BudgetsTable[[#This Row],[prop_id]]&lt;&gt;A459)</f>
        <v>1</v>
      </c>
      <c r="E460" s="127">
        <v>42935.488888888889</v>
      </c>
      <c r="F460" s="128" t="s">
        <v>242</v>
      </c>
      <c r="G460" s="128" t="s">
        <v>741</v>
      </c>
      <c r="H460" s="128" t="s">
        <v>528</v>
      </c>
      <c r="I460" s="126" t="s">
        <v>1530</v>
      </c>
      <c r="J460" s="126" t="s">
        <v>13</v>
      </c>
      <c r="K460" s="128" t="s">
        <v>1640</v>
      </c>
      <c r="L460" s="7" t="str">
        <f>IF(BudgetsTable[[#This Row],[pi_last_name]]=" ","",HYPERLINK("https://www.ejacket.nsf.gov/ej/showProposal.do?Continue=Y&amp;ID="&amp;BudgetsTable[[#This Row],[prop_id]],BudgetsTable[[#This Row],[prop_id]]))</f>
        <v/>
      </c>
      <c r="M460" s="15" t="str">
        <f>IF(BudgetsTable[[#This Row],[pi_last_name]]=" ","",HYPERLINK("https://www.ejacket.nsf.gov/ej/processReviewAnalysis.do?dispatch=add&amp;uniqId="&amp;BudgetsTable[[#This Row],[prop_id]]&amp;PO_id,"&gt;ra"))</f>
        <v/>
      </c>
      <c r="N460" s="128" t="s">
        <v>13</v>
      </c>
      <c r="O460" s="7" t="str">
        <f>IF(BudgetsTable[[#This Row],[pi_last_name]]=" ","",HYPERLINK("mailto:"&amp;BudgetsTable[[#This Row],[pi_email]]&amp;"&amp;subject=Your NSF Proposal:  "&amp;BudgetsTable[[#This Row],[prop_id]],BudgetsTable[[#This Row],[pi_email]]))</f>
        <v/>
      </c>
      <c r="P460" s="128" t="s">
        <v>13</v>
      </c>
      <c r="Q460" s="128">
        <v>1</v>
      </c>
      <c r="R460" s="128">
        <v>1</v>
      </c>
      <c r="S460" s="129">
        <v>0</v>
      </c>
      <c r="T460" s="129">
        <v>3000</v>
      </c>
      <c r="U460" s="129">
        <v>0</v>
      </c>
      <c r="V460" s="130">
        <v>103224</v>
      </c>
      <c r="W460" s="128">
        <v>0</v>
      </c>
      <c r="X460" s="128">
        <v>4</v>
      </c>
      <c r="Y460" s="131" t="str">
        <f ca="1">IF(ISBLANK(BudgetsTable[[#This Row],[budg_seq_yr]]),"FY"&amp;fiscalyear,"FY"&amp;fiscalyear-1+BudgetsTable[[#This Row],[budg_seq_yr]])</f>
        <v>FY21</v>
      </c>
      <c r="Z460" s="129">
        <v>103224</v>
      </c>
      <c r="AA460" s="128" t="s">
        <v>741</v>
      </c>
      <c r="AB460" s="128" t="s">
        <v>528</v>
      </c>
      <c r="AC460" s="126" t="s">
        <v>94</v>
      </c>
      <c r="AD460" s="128" t="s">
        <v>744</v>
      </c>
    </row>
    <row r="461" spans="1:30">
      <c r="A461" s="125" t="s">
        <v>1640</v>
      </c>
      <c r="B461" s="126" t="s">
        <v>96</v>
      </c>
      <c r="C461" s="126">
        <f>C460+(BudgetsTable[[#This Row],[lead]]&lt;&gt;K460)</f>
        <v>91</v>
      </c>
      <c r="D461" s="126">
        <f>D460*(BudgetsTable[[#This Row],[lead]]=K460)+(BudgetsTable[[#This Row],[prop_id]]&lt;&gt;A460)</f>
        <v>1</v>
      </c>
      <c r="E461" s="127">
        <v>42935.488888888889</v>
      </c>
      <c r="F461" s="128" t="s">
        <v>242</v>
      </c>
      <c r="G461" s="128" t="s">
        <v>741</v>
      </c>
      <c r="H461" s="128" t="s">
        <v>528</v>
      </c>
      <c r="I461" s="126" t="s">
        <v>1530</v>
      </c>
      <c r="J461" s="126" t="s">
        <v>13</v>
      </c>
      <c r="K461" s="128" t="s">
        <v>1640</v>
      </c>
      <c r="L461" s="7" t="str">
        <f>IF(BudgetsTable[[#This Row],[pi_last_name]]=" ","",HYPERLINK("https://www.ejacket.nsf.gov/ej/showProposal.do?Continue=Y&amp;ID="&amp;BudgetsTable[[#This Row],[prop_id]],BudgetsTable[[#This Row],[prop_id]]))</f>
        <v/>
      </c>
      <c r="M461" s="15" t="str">
        <f>IF(BudgetsTable[[#This Row],[pi_last_name]]=" ","",HYPERLINK("https://www.ejacket.nsf.gov/ej/processReviewAnalysis.do?dispatch=add&amp;uniqId="&amp;BudgetsTable[[#This Row],[prop_id]]&amp;PO_id,"&gt;ra"))</f>
        <v/>
      </c>
      <c r="N461" s="128" t="s">
        <v>13</v>
      </c>
      <c r="O461" s="7" t="str">
        <f>IF(BudgetsTable[[#This Row],[pi_last_name]]=" ","",HYPERLINK("mailto:"&amp;BudgetsTable[[#This Row],[pi_email]]&amp;"&amp;subject=Your NSF Proposal:  "&amp;BudgetsTable[[#This Row],[prop_id]],BudgetsTable[[#This Row],[pi_email]]))</f>
        <v/>
      </c>
      <c r="P461" s="128" t="s">
        <v>13</v>
      </c>
      <c r="Q461" s="128">
        <v>1</v>
      </c>
      <c r="R461" s="128">
        <v>1</v>
      </c>
      <c r="S461" s="129">
        <v>0</v>
      </c>
      <c r="T461" s="129">
        <v>3000</v>
      </c>
      <c r="U461" s="129">
        <v>0</v>
      </c>
      <c r="V461" s="130">
        <v>106831</v>
      </c>
      <c r="W461" s="128">
        <v>0</v>
      </c>
      <c r="X461" s="128">
        <v>5</v>
      </c>
      <c r="Y461" s="131" t="str">
        <f ca="1">IF(ISBLANK(BudgetsTable[[#This Row],[budg_seq_yr]]),"FY"&amp;fiscalyear,"FY"&amp;fiscalyear-1+BudgetsTable[[#This Row],[budg_seq_yr]])</f>
        <v>FY22</v>
      </c>
      <c r="Z461" s="129">
        <v>106831</v>
      </c>
      <c r="AA461" s="128" t="s">
        <v>741</v>
      </c>
      <c r="AB461" s="128" t="s">
        <v>528</v>
      </c>
      <c r="AC461" s="126" t="s">
        <v>94</v>
      </c>
      <c r="AD461" s="128" t="s">
        <v>744</v>
      </c>
    </row>
    <row r="462" spans="1:30">
      <c r="A462" s="125" t="s">
        <v>1647</v>
      </c>
      <c r="B462" s="126" t="s">
        <v>96</v>
      </c>
      <c r="C462" s="126">
        <f>C461+(BudgetsTable[[#This Row],[lead]]&lt;&gt;K461)</f>
        <v>92</v>
      </c>
      <c r="D462" s="126">
        <f>D461*(BudgetsTable[[#This Row],[lead]]=K461)+(BudgetsTable[[#This Row],[prop_id]]&lt;&gt;A461)</f>
        <v>1</v>
      </c>
      <c r="E462" s="127">
        <v>42935.491666666669</v>
      </c>
      <c r="F462" s="128" t="s">
        <v>242</v>
      </c>
      <c r="G462" s="128" t="s">
        <v>741</v>
      </c>
      <c r="H462" s="128" t="s">
        <v>528</v>
      </c>
      <c r="I462" s="126" t="s">
        <v>1530</v>
      </c>
      <c r="J462" s="126" t="s">
        <v>2398</v>
      </c>
      <c r="K462" s="128" t="s">
        <v>1647</v>
      </c>
      <c r="L462" s="7" t="str">
        <f>IF(BudgetsTable[[#This Row],[pi_last_name]]=" ","",HYPERLINK("https://www.ejacket.nsf.gov/ej/showProposal.do?Continue=Y&amp;ID="&amp;BudgetsTable[[#This Row],[prop_id]],BudgetsTable[[#This Row],[prop_id]]))</f>
        <v>1750344</v>
      </c>
      <c r="M462" s="15" t="str">
        <f>IF(BudgetsTable[[#This Row],[pi_last_name]]=" ","",HYPERLINK("https://www.ejacket.nsf.gov/ej/processReviewAnalysis.do?dispatch=add&amp;uniqId="&amp;BudgetsTable[[#This Row],[prop_id]]&amp;PO_id,"&gt;ra"))</f>
        <v>&gt;ra</v>
      </c>
      <c r="N462" s="128" t="s">
        <v>1031</v>
      </c>
      <c r="O462" s="7" t="str">
        <f>IF(BudgetsTable[[#This Row],[pi_last_name]]=" ","",HYPERLINK("mailto:"&amp;BudgetsTable[[#This Row],[pi_email]]&amp;"&amp;subject=Your NSF Proposal:  "&amp;BudgetsTable[[#This Row],[prop_id]],BudgetsTable[[#This Row],[pi_email]]))</f>
        <v>pvaliant@gmail.com</v>
      </c>
      <c r="P462" s="128" t="s">
        <v>2087</v>
      </c>
      <c r="Q462" s="128"/>
      <c r="R462" s="128"/>
      <c r="S462" s="129"/>
      <c r="T462" s="129"/>
      <c r="U462" s="129"/>
      <c r="V462" s="130"/>
      <c r="W462" s="128">
        <v>0</v>
      </c>
      <c r="X462" s="128"/>
      <c r="Y462" s="131" t="str">
        <f ca="1">IF(ISBLANK(BudgetsTable[[#This Row],[budg_seq_yr]]),"FY"&amp;fiscalyear,"FY"&amp;fiscalyear-1+BudgetsTable[[#This Row],[budg_seq_yr]])</f>
        <v>FY18</v>
      </c>
      <c r="Z462" s="129">
        <v>666111</v>
      </c>
      <c r="AA462" s="128" t="s">
        <v>741</v>
      </c>
      <c r="AB462" s="128" t="s">
        <v>528</v>
      </c>
      <c r="AC462" s="126" t="s">
        <v>94</v>
      </c>
      <c r="AD462" s="128" t="s">
        <v>2395</v>
      </c>
    </row>
    <row r="463" spans="1:30">
      <c r="A463" s="125" t="s">
        <v>1647</v>
      </c>
      <c r="B463" s="126" t="s">
        <v>96</v>
      </c>
      <c r="C463" s="126">
        <f>C462+(BudgetsTable[[#This Row],[lead]]&lt;&gt;K462)</f>
        <v>92</v>
      </c>
      <c r="D463" s="126">
        <f>D462*(BudgetsTable[[#This Row],[lead]]=K462)+(BudgetsTable[[#This Row],[prop_id]]&lt;&gt;A462)</f>
        <v>1</v>
      </c>
      <c r="E463" s="127">
        <v>42935.491666666669</v>
      </c>
      <c r="F463" s="128" t="s">
        <v>242</v>
      </c>
      <c r="G463" s="128" t="s">
        <v>741</v>
      </c>
      <c r="H463" s="128" t="s">
        <v>528</v>
      </c>
      <c r="I463" s="126" t="s">
        <v>1530</v>
      </c>
      <c r="J463" s="126" t="s">
        <v>13</v>
      </c>
      <c r="K463" s="128" t="s">
        <v>1647</v>
      </c>
      <c r="L463" s="7" t="str">
        <f>IF(BudgetsTable[[#This Row],[pi_last_name]]=" ","",HYPERLINK("https://www.ejacket.nsf.gov/ej/showProposal.do?Continue=Y&amp;ID="&amp;BudgetsTable[[#This Row],[prop_id]],BudgetsTable[[#This Row],[prop_id]]))</f>
        <v/>
      </c>
      <c r="M463" s="15" t="str">
        <f>IF(BudgetsTable[[#This Row],[pi_last_name]]=" ","",HYPERLINK("https://www.ejacket.nsf.gov/ej/processReviewAnalysis.do?dispatch=add&amp;uniqId="&amp;BudgetsTable[[#This Row],[prop_id]]&amp;PO_id,"&gt;ra"))</f>
        <v/>
      </c>
      <c r="N463" s="128" t="s">
        <v>13</v>
      </c>
      <c r="O463" s="7" t="str">
        <f>IF(BudgetsTable[[#This Row],[pi_last_name]]=" ","",HYPERLINK("mailto:"&amp;BudgetsTable[[#This Row],[pi_email]]&amp;"&amp;subject=Your NSF Proposal:  "&amp;BudgetsTable[[#This Row],[prop_id]],BudgetsTable[[#This Row],[pi_email]]))</f>
        <v/>
      </c>
      <c r="P463" s="128" t="s">
        <v>13</v>
      </c>
      <c r="Q463" s="128">
        <v>1</v>
      </c>
      <c r="R463" s="128">
        <v>1</v>
      </c>
      <c r="S463" s="129">
        <v>0</v>
      </c>
      <c r="T463" s="129">
        <v>2000</v>
      </c>
      <c r="U463" s="129">
        <v>0</v>
      </c>
      <c r="V463" s="130">
        <v>124310</v>
      </c>
      <c r="W463" s="128">
        <v>0</v>
      </c>
      <c r="X463" s="128">
        <v>1</v>
      </c>
      <c r="Y463" s="131" t="str">
        <f ca="1">IF(ISBLANK(BudgetsTable[[#This Row],[budg_seq_yr]]),"FY"&amp;fiscalyear,"FY"&amp;fiscalyear-1+BudgetsTable[[#This Row],[budg_seq_yr]])</f>
        <v>FY18</v>
      </c>
      <c r="Z463" s="129">
        <v>124310</v>
      </c>
      <c r="AA463" s="128" t="s">
        <v>741</v>
      </c>
      <c r="AB463" s="128" t="s">
        <v>528</v>
      </c>
      <c r="AC463" s="126" t="s">
        <v>94</v>
      </c>
      <c r="AD463" s="128" t="s">
        <v>2395</v>
      </c>
    </row>
    <row r="464" spans="1:30">
      <c r="A464" s="125" t="s">
        <v>1647</v>
      </c>
      <c r="B464" s="126" t="s">
        <v>96</v>
      </c>
      <c r="C464" s="126">
        <f>C463+(BudgetsTable[[#This Row],[lead]]&lt;&gt;K463)</f>
        <v>92</v>
      </c>
      <c r="D464" s="126">
        <f>D463*(BudgetsTable[[#This Row],[lead]]=K463)+(BudgetsTable[[#This Row],[prop_id]]&lt;&gt;A463)</f>
        <v>1</v>
      </c>
      <c r="E464" s="127">
        <v>42935.491666666669</v>
      </c>
      <c r="F464" s="128" t="s">
        <v>242</v>
      </c>
      <c r="G464" s="128" t="s">
        <v>741</v>
      </c>
      <c r="H464" s="128" t="s">
        <v>528</v>
      </c>
      <c r="I464" s="126" t="s">
        <v>1530</v>
      </c>
      <c r="J464" s="126" t="s">
        <v>13</v>
      </c>
      <c r="K464" s="128" t="s">
        <v>1647</v>
      </c>
      <c r="L464" s="7" t="str">
        <f>IF(BudgetsTable[[#This Row],[pi_last_name]]=" ","",HYPERLINK("https://www.ejacket.nsf.gov/ej/showProposal.do?Continue=Y&amp;ID="&amp;BudgetsTable[[#This Row],[prop_id]],BudgetsTable[[#This Row],[prop_id]]))</f>
        <v/>
      </c>
      <c r="M464" s="15" t="str">
        <f>IF(BudgetsTable[[#This Row],[pi_last_name]]=" ","",HYPERLINK("https://www.ejacket.nsf.gov/ej/processReviewAnalysis.do?dispatch=add&amp;uniqId="&amp;BudgetsTable[[#This Row],[prop_id]]&amp;PO_id,"&gt;ra"))</f>
        <v/>
      </c>
      <c r="N464" s="128" t="s">
        <v>13</v>
      </c>
      <c r="O464" s="7" t="str">
        <f>IF(BudgetsTable[[#This Row],[pi_last_name]]=" ","",HYPERLINK("mailto:"&amp;BudgetsTable[[#This Row],[pi_email]]&amp;"&amp;subject=Your NSF Proposal:  "&amp;BudgetsTable[[#This Row],[prop_id]],BudgetsTable[[#This Row],[pi_email]]))</f>
        <v/>
      </c>
      <c r="P464" s="128" t="s">
        <v>13</v>
      </c>
      <c r="Q464" s="128">
        <v>1</v>
      </c>
      <c r="R464" s="128">
        <v>1</v>
      </c>
      <c r="S464" s="129">
        <v>0</v>
      </c>
      <c r="T464" s="129">
        <v>2060</v>
      </c>
      <c r="U464" s="129">
        <v>0</v>
      </c>
      <c r="V464" s="130">
        <v>128605</v>
      </c>
      <c r="W464" s="128">
        <v>0</v>
      </c>
      <c r="X464" s="128">
        <v>2</v>
      </c>
      <c r="Y464" s="131" t="str">
        <f ca="1">IF(ISBLANK(BudgetsTable[[#This Row],[budg_seq_yr]]),"FY"&amp;fiscalyear,"FY"&amp;fiscalyear-1+BudgetsTable[[#This Row],[budg_seq_yr]])</f>
        <v>FY19</v>
      </c>
      <c r="Z464" s="129">
        <v>128605</v>
      </c>
      <c r="AA464" s="128" t="s">
        <v>741</v>
      </c>
      <c r="AB464" s="128" t="s">
        <v>528</v>
      </c>
      <c r="AC464" s="126" t="s">
        <v>94</v>
      </c>
      <c r="AD464" s="128" t="s">
        <v>2395</v>
      </c>
    </row>
    <row r="465" spans="1:30">
      <c r="A465" s="125" t="s">
        <v>1647</v>
      </c>
      <c r="B465" s="126" t="s">
        <v>96</v>
      </c>
      <c r="C465" s="126">
        <f>C464+(BudgetsTable[[#This Row],[lead]]&lt;&gt;K464)</f>
        <v>92</v>
      </c>
      <c r="D465" s="126">
        <f>D464*(BudgetsTable[[#This Row],[lead]]=K464)+(BudgetsTable[[#This Row],[prop_id]]&lt;&gt;A464)</f>
        <v>1</v>
      </c>
      <c r="E465" s="127">
        <v>42935.491666666669</v>
      </c>
      <c r="F465" s="128" t="s">
        <v>242</v>
      </c>
      <c r="G465" s="128" t="s">
        <v>741</v>
      </c>
      <c r="H465" s="128" t="s">
        <v>528</v>
      </c>
      <c r="I465" s="126" t="s">
        <v>1530</v>
      </c>
      <c r="J465" s="126" t="s">
        <v>13</v>
      </c>
      <c r="K465" s="128" t="s">
        <v>1647</v>
      </c>
      <c r="L465" s="7" t="str">
        <f>IF(BudgetsTable[[#This Row],[pi_last_name]]=" ","",HYPERLINK("https://www.ejacket.nsf.gov/ej/showProposal.do?Continue=Y&amp;ID="&amp;BudgetsTable[[#This Row],[prop_id]],BudgetsTable[[#This Row],[prop_id]]))</f>
        <v/>
      </c>
      <c r="M465" s="15" t="str">
        <f>IF(BudgetsTable[[#This Row],[pi_last_name]]=" ","",HYPERLINK("https://www.ejacket.nsf.gov/ej/processReviewAnalysis.do?dispatch=add&amp;uniqId="&amp;BudgetsTable[[#This Row],[prop_id]]&amp;PO_id,"&gt;ra"))</f>
        <v/>
      </c>
      <c r="N465" s="128" t="s">
        <v>13</v>
      </c>
      <c r="O465" s="7" t="str">
        <f>IF(BudgetsTable[[#This Row],[pi_last_name]]=" ","",HYPERLINK("mailto:"&amp;BudgetsTable[[#This Row],[pi_email]]&amp;"&amp;subject=Your NSF Proposal:  "&amp;BudgetsTable[[#This Row],[prop_id]],BudgetsTable[[#This Row],[pi_email]]))</f>
        <v/>
      </c>
      <c r="P465" s="128" t="s">
        <v>13</v>
      </c>
      <c r="Q465" s="128">
        <v>1</v>
      </c>
      <c r="R465" s="128">
        <v>1</v>
      </c>
      <c r="S465" s="129">
        <v>0</v>
      </c>
      <c r="T465" s="129">
        <v>2122</v>
      </c>
      <c r="U465" s="129">
        <v>0</v>
      </c>
      <c r="V465" s="130">
        <v>133063</v>
      </c>
      <c r="W465" s="128">
        <v>0</v>
      </c>
      <c r="X465" s="128">
        <v>3</v>
      </c>
      <c r="Y465" s="131" t="str">
        <f ca="1">IF(ISBLANK(BudgetsTable[[#This Row],[budg_seq_yr]]),"FY"&amp;fiscalyear,"FY"&amp;fiscalyear-1+BudgetsTable[[#This Row],[budg_seq_yr]])</f>
        <v>FY20</v>
      </c>
      <c r="Z465" s="129">
        <v>133063</v>
      </c>
      <c r="AA465" s="128" t="s">
        <v>741</v>
      </c>
      <c r="AB465" s="128" t="s">
        <v>528</v>
      </c>
      <c r="AC465" s="126" t="s">
        <v>94</v>
      </c>
      <c r="AD465" s="128" t="s">
        <v>2395</v>
      </c>
    </row>
    <row r="466" spans="1:30">
      <c r="A466" s="125" t="s">
        <v>1647</v>
      </c>
      <c r="B466" s="126" t="s">
        <v>96</v>
      </c>
      <c r="C466" s="126">
        <f>C465+(BudgetsTable[[#This Row],[lead]]&lt;&gt;K465)</f>
        <v>92</v>
      </c>
      <c r="D466" s="126">
        <f>D465*(BudgetsTable[[#This Row],[lead]]=K465)+(BudgetsTable[[#This Row],[prop_id]]&lt;&gt;A465)</f>
        <v>1</v>
      </c>
      <c r="E466" s="127">
        <v>42935.491666666669</v>
      </c>
      <c r="F466" s="128" t="s">
        <v>242</v>
      </c>
      <c r="G466" s="128" t="s">
        <v>741</v>
      </c>
      <c r="H466" s="128" t="s">
        <v>528</v>
      </c>
      <c r="I466" s="126" t="s">
        <v>1530</v>
      </c>
      <c r="J466" s="126" t="s">
        <v>13</v>
      </c>
      <c r="K466" s="128" t="s">
        <v>1647</v>
      </c>
      <c r="L466" s="7" t="str">
        <f>IF(BudgetsTable[[#This Row],[pi_last_name]]=" ","",HYPERLINK("https://www.ejacket.nsf.gov/ej/showProposal.do?Continue=Y&amp;ID="&amp;BudgetsTable[[#This Row],[prop_id]],BudgetsTable[[#This Row],[prop_id]]))</f>
        <v/>
      </c>
      <c r="M466" s="15" t="str">
        <f>IF(BudgetsTable[[#This Row],[pi_last_name]]=" ","",HYPERLINK("https://www.ejacket.nsf.gov/ej/processReviewAnalysis.do?dispatch=add&amp;uniqId="&amp;BudgetsTable[[#This Row],[prop_id]]&amp;PO_id,"&gt;ra"))</f>
        <v/>
      </c>
      <c r="N466" s="128" t="s">
        <v>13</v>
      </c>
      <c r="O466" s="7" t="str">
        <f>IF(BudgetsTable[[#This Row],[pi_last_name]]=" ","",HYPERLINK("mailto:"&amp;BudgetsTable[[#This Row],[pi_email]]&amp;"&amp;subject=Your NSF Proposal:  "&amp;BudgetsTable[[#This Row],[prop_id]],BudgetsTable[[#This Row],[pi_email]]))</f>
        <v/>
      </c>
      <c r="P466" s="128" t="s">
        <v>13</v>
      </c>
      <c r="Q466" s="128">
        <v>1</v>
      </c>
      <c r="R466" s="128">
        <v>1</v>
      </c>
      <c r="S466" s="129">
        <v>0</v>
      </c>
      <c r="T466" s="129">
        <v>2185</v>
      </c>
      <c r="U466" s="129">
        <v>0</v>
      </c>
      <c r="V466" s="130">
        <v>137676</v>
      </c>
      <c r="W466" s="128">
        <v>0</v>
      </c>
      <c r="X466" s="128">
        <v>4</v>
      </c>
      <c r="Y466" s="131" t="str">
        <f ca="1">IF(ISBLANK(BudgetsTable[[#This Row],[budg_seq_yr]]),"FY"&amp;fiscalyear,"FY"&amp;fiscalyear-1+BudgetsTable[[#This Row],[budg_seq_yr]])</f>
        <v>FY21</v>
      </c>
      <c r="Z466" s="129">
        <v>137676</v>
      </c>
      <c r="AA466" s="128" t="s">
        <v>741</v>
      </c>
      <c r="AB466" s="128" t="s">
        <v>528</v>
      </c>
      <c r="AC466" s="126" t="s">
        <v>94</v>
      </c>
      <c r="AD466" s="128" t="s">
        <v>2395</v>
      </c>
    </row>
    <row r="467" spans="1:30">
      <c r="A467" s="125" t="s">
        <v>1647</v>
      </c>
      <c r="B467" s="126" t="s">
        <v>96</v>
      </c>
      <c r="C467" s="126">
        <f>C466+(BudgetsTable[[#This Row],[lead]]&lt;&gt;K466)</f>
        <v>92</v>
      </c>
      <c r="D467" s="126">
        <f>D466*(BudgetsTable[[#This Row],[lead]]=K466)+(BudgetsTable[[#This Row],[prop_id]]&lt;&gt;A466)</f>
        <v>1</v>
      </c>
      <c r="E467" s="127">
        <v>42935.491666666669</v>
      </c>
      <c r="F467" s="128" t="s">
        <v>242</v>
      </c>
      <c r="G467" s="128" t="s">
        <v>741</v>
      </c>
      <c r="H467" s="128" t="s">
        <v>528</v>
      </c>
      <c r="I467" s="126" t="s">
        <v>1530</v>
      </c>
      <c r="J467" s="126" t="s">
        <v>13</v>
      </c>
      <c r="K467" s="128" t="s">
        <v>1647</v>
      </c>
      <c r="L467" s="7" t="str">
        <f>IF(BudgetsTable[[#This Row],[pi_last_name]]=" ","",HYPERLINK("https://www.ejacket.nsf.gov/ej/showProposal.do?Continue=Y&amp;ID="&amp;BudgetsTable[[#This Row],[prop_id]],BudgetsTable[[#This Row],[prop_id]]))</f>
        <v/>
      </c>
      <c r="M467" s="15" t="str">
        <f>IF(BudgetsTable[[#This Row],[pi_last_name]]=" ","",HYPERLINK("https://www.ejacket.nsf.gov/ej/processReviewAnalysis.do?dispatch=add&amp;uniqId="&amp;BudgetsTable[[#This Row],[prop_id]]&amp;PO_id,"&gt;ra"))</f>
        <v/>
      </c>
      <c r="N467" s="128" t="s">
        <v>13</v>
      </c>
      <c r="O467" s="7" t="str">
        <f>IF(BudgetsTable[[#This Row],[pi_last_name]]=" ","",HYPERLINK("mailto:"&amp;BudgetsTable[[#This Row],[pi_email]]&amp;"&amp;subject=Your NSF Proposal:  "&amp;BudgetsTable[[#This Row],[prop_id]],BudgetsTable[[#This Row],[pi_email]]))</f>
        <v/>
      </c>
      <c r="P467" s="128" t="s">
        <v>13</v>
      </c>
      <c r="Q467" s="128">
        <v>1</v>
      </c>
      <c r="R467" s="128">
        <v>1</v>
      </c>
      <c r="S467" s="129">
        <v>0</v>
      </c>
      <c r="T467" s="129">
        <v>2251</v>
      </c>
      <c r="U467" s="129">
        <v>0</v>
      </c>
      <c r="V467" s="130">
        <v>142457</v>
      </c>
      <c r="W467" s="128">
        <v>0</v>
      </c>
      <c r="X467" s="128">
        <v>5</v>
      </c>
      <c r="Y467" s="131" t="str">
        <f ca="1">IF(ISBLANK(BudgetsTable[[#This Row],[budg_seq_yr]]),"FY"&amp;fiscalyear,"FY"&amp;fiscalyear-1+BudgetsTable[[#This Row],[budg_seq_yr]])</f>
        <v>FY22</v>
      </c>
      <c r="Z467" s="129">
        <v>142457</v>
      </c>
      <c r="AA467" s="128" t="s">
        <v>741</v>
      </c>
      <c r="AB467" s="128" t="s">
        <v>528</v>
      </c>
      <c r="AC467" s="126" t="s">
        <v>94</v>
      </c>
      <c r="AD467" s="128" t="s">
        <v>2395</v>
      </c>
    </row>
    <row r="468" spans="1:30">
      <c r="A468" s="125" t="s">
        <v>1654</v>
      </c>
      <c r="B468" s="126" t="s">
        <v>96</v>
      </c>
      <c r="C468" s="126">
        <f>C467+(BudgetsTable[[#This Row],[lead]]&lt;&gt;K467)</f>
        <v>93</v>
      </c>
      <c r="D468" s="126">
        <f>D467*(BudgetsTable[[#This Row],[lead]]=K467)+(BudgetsTable[[#This Row],[prop_id]]&lt;&gt;A467)</f>
        <v>1</v>
      </c>
      <c r="E468" s="127">
        <v>42935.535416666666</v>
      </c>
      <c r="F468" s="128" t="s">
        <v>242</v>
      </c>
      <c r="G468" s="128" t="s">
        <v>741</v>
      </c>
      <c r="H468" s="128" t="s">
        <v>528</v>
      </c>
      <c r="I468" s="126" t="s">
        <v>543</v>
      </c>
      <c r="J468" s="126" t="s">
        <v>2403</v>
      </c>
      <c r="K468" s="128" t="s">
        <v>1654</v>
      </c>
      <c r="L468" s="7" t="str">
        <f>IF(BudgetsTable[[#This Row],[pi_last_name]]=" ","",HYPERLINK("https://www.ejacket.nsf.gov/ej/showProposal.do?Continue=Y&amp;ID="&amp;BudgetsTable[[#This Row],[prop_id]],BudgetsTable[[#This Row],[prop_id]]))</f>
        <v>1750436</v>
      </c>
      <c r="M468" s="15" t="str">
        <f>IF(BudgetsTable[[#This Row],[pi_last_name]]=" ","",HYPERLINK("https://www.ejacket.nsf.gov/ej/processReviewAnalysis.do?dispatch=add&amp;uniqId="&amp;BudgetsTable[[#This Row],[prop_id]]&amp;PO_id,"&gt;ra"))</f>
        <v>&gt;ra</v>
      </c>
      <c r="N468" s="128" t="s">
        <v>1655</v>
      </c>
      <c r="O468" s="7" t="str">
        <f>IF(BudgetsTable[[#This Row],[pi_last_name]]=" ","",HYPERLINK("mailto:"&amp;BudgetsTable[[#This Row],[pi_email]]&amp;"&amp;subject=Your NSF Proposal:  "&amp;BudgetsTable[[#This Row],[prop_id]],BudgetsTable[[#This Row],[pi_email]]))</f>
        <v>rutameht@illinois.edu</v>
      </c>
      <c r="P468" s="128" t="s">
        <v>339</v>
      </c>
      <c r="Q468" s="128"/>
      <c r="R468" s="128"/>
      <c r="S468" s="129"/>
      <c r="T468" s="129"/>
      <c r="U468" s="129"/>
      <c r="V468" s="130"/>
      <c r="W468" s="128">
        <v>0</v>
      </c>
      <c r="X468" s="128"/>
      <c r="Y468" s="131" t="str">
        <f ca="1">IF(ISBLANK(BudgetsTable[[#This Row],[budg_seq_yr]]),"FY"&amp;fiscalyear,"FY"&amp;fiscalyear-1+BudgetsTable[[#This Row],[budg_seq_yr]])</f>
        <v>FY18</v>
      </c>
      <c r="Z468" s="129">
        <v>499906</v>
      </c>
      <c r="AA468" s="128" t="s">
        <v>741</v>
      </c>
      <c r="AB468" s="128" t="s">
        <v>528</v>
      </c>
      <c r="AC468" s="126" t="s">
        <v>94</v>
      </c>
      <c r="AD468" s="128" t="s">
        <v>2399</v>
      </c>
    </row>
    <row r="469" spans="1:30">
      <c r="A469" s="125" t="s">
        <v>1654</v>
      </c>
      <c r="B469" s="126" t="s">
        <v>96</v>
      </c>
      <c r="C469" s="126">
        <f>C468+(BudgetsTable[[#This Row],[lead]]&lt;&gt;K468)</f>
        <v>93</v>
      </c>
      <c r="D469" s="126">
        <f>D468*(BudgetsTable[[#This Row],[lead]]=K468)+(BudgetsTable[[#This Row],[prop_id]]&lt;&gt;A468)</f>
        <v>1</v>
      </c>
      <c r="E469" s="127">
        <v>42935.535416666666</v>
      </c>
      <c r="F469" s="128" t="s">
        <v>242</v>
      </c>
      <c r="G469" s="128" t="s">
        <v>741</v>
      </c>
      <c r="H469" s="128" t="s">
        <v>528</v>
      </c>
      <c r="I469" s="126" t="s">
        <v>543</v>
      </c>
      <c r="J469" s="126" t="s">
        <v>13</v>
      </c>
      <c r="K469" s="128" t="s">
        <v>1654</v>
      </c>
      <c r="L469" s="7" t="str">
        <f>IF(BudgetsTable[[#This Row],[pi_last_name]]=" ","",HYPERLINK("https://www.ejacket.nsf.gov/ej/showProposal.do?Continue=Y&amp;ID="&amp;BudgetsTable[[#This Row],[prop_id]],BudgetsTable[[#This Row],[prop_id]]))</f>
        <v/>
      </c>
      <c r="M469" s="15" t="str">
        <f>IF(BudgetsTable[[#This Row],[pi_last_name]]=" ","",HYPERLINK("https://www.ejacket.nsf.gov/ej/processReviewAnalysis.do?dispatch=add&amp;uniqId="&amp;BudgetsTable[[#This Row],[prop_id]]&amp;PO_id,"&gt;ra"))</f>
        <v/>
      </c>
      <c r="N469" s="128" t="s">
        <v>13</v>
      </c>
      <c r="O469" s="7" t="str">
        <f>IF(BudgetsTable[[#This Row],[pi_last_name]]=" ","",HYPERLINK("mailto:"&amp;BudgetsTable[[#This Row],[pi_email]]&amp;"&amp;subject=Your NSF Proposal:  "&amp;BudgetsTable[[#This Row],[prop_id]],BudgetsTable[[#This Row],[pi_email]]))</f>
        <v/>
      </c>
      <c r="P469" s="128" t="s">
        <v>13</v>
      </c>
      <c r="Q469" s="128">
        <v>1</v>
      </c>
      <c r="R469" s="128">
        <v>1</v>
      </c>
      <c r="S469" s="129">
        <v>0</v>
      </c>
      <c r="T469" s="129">
        <v>2000</v>
      </c>
      <c r="U469" s="129">
        <v>0</v>
      </c>
      <c r="V469" s="130">
        <v>101016</v>
      </c>
      <c r="W469" s="128">
        <v>0</v>
      </c>
      <c r="X469" s="128">
        <v>1</v>
      </c>
      <c r="Y469" s="131" t="str">
        <f ca="1">IF(ISBLANK(BudgetsTable[[#This Row],[budg_seq_yr]]),"FY"&amp;fiscalyear,"FY"&amp;fiscalyear-1+BudgetsTable[[#This Row],[budg_seq_yr]])</f>
        <v>FY18</v>
      </c>
      <c r="Z469" s="129">
        <v>101016</v>
      </c>
      <c r="AA469" s="128" t="s">
        <v>741</v>
      </c>
      <c r="AB469" s="128" t="s">
        <v>528</v>
      </c>
      <c r="AC469" s="126" t="s">
        <v>94</v>
      </c>
      <c r="AD469" s="128" t="s">
        <v>2399</v>
      </c>
    </row>
    <row r="470" spans="1:30">
      <c r="A470" s="125" t="s">
        <v>1654</v>
      </c>
      <c r="B470" s="126" t="s">
        <v>96</v>
      </c>
      <c r="C470" s="126">
        <f>C469+(BudgetsTable[[#This Row],[lead]]&lt;&gt;K469)</f>
        <v>93</v>
      </c>
      <c r="D470" s="126">
        <f>D469*(BudgetsTable[[#This Row],[lead]]=K469)+(BudgetsTable[[#This Row],[prop_id]]&lt;&gt;A469)</f>
        <v>1</v>
      </c>
      <c r="E470" s="127">
        <v>42935.535416666666</v>
      </c>
      <c r="F470" s="128" t="s">
        <v>242</v>
      </c>
      <c r="G470" s="128" t="s">
        <v>741</v>
      </c>
      <c r="H470" s="128" t="s">
        <v>528</v>
      </c>
      <c r="I470" s="126" t="s">
        <v>543</v>
      </c>
      <c r="J470" s="126" t="s">
        <v>13</v>
      </c>
      <c r="K470" s="128" t="s">
        <v>1654</v>
      </c>
      <c r="L470" s="7" t="str">
        <f>IF(BudgetsTable[[#This Row],[pi_last_name]]=" ","",HYPERLINK("https://www.ejacket.nsf.gov/ej/showProposal.do?Continue=Y&amp;ID="&amp;BudgetsTable[[#This Row],[prop_id]],BudgetsTable[[#This Row],[prop_id]]))</f>
        <v/>
      </c>
      <c r="M470" s="15" t="str">
        <f>IF(BudgetsTable[[#This Row],[pi_last_name]]=" ","",HYPERLINK("https://www.ejacket.nsf.gov/ej/processReviewAnalysis.do?dispatch=add&amp;uniqId="&amp;BudgetsTable[[#This Row],[prop_id]]&amp;PO_id,"&gt;ra"))</f>
        <v/>
      </c>
      <c r="N470" s="128" t="s">
        <v>13</v>
      </c>
      <c r="O470" s="7" t="str">
        <f>IF(BudgetsTable[[#This Row],[pi_last_name]]=" ","",HYPERLINK("mailto:"&amp;BudgetsTable[[#This Row],[pi_email]]&amp;"&amp;subject=Your NSF Proposal:  "&amp;BudgetsTable[[#This Row],[prop_id]],BudgetsTable[[#This Row],[pi_email]]))</f>
        <v/>
      </c>
      <c r="P470" s="128" t="s">
        <v>13</v>
      </c>
      <c r="Q470" s="128">
        <v>1</v>
      </c>
      <c r="R470" s="128">
        <v>1</v>
      </c>
      <c r="S470" s="129">
        <v>0</v>
      </c>
      <c r="T470" s="129">
        <v>2000</v>
      </c>
      <c r="U470" s="129">
        <v>0</v>
      </c>
      <c r="V470" s="130">
        <v>102073</v>
      </c>
      <c r="W470" s="128">
        <v>0</v>
      </c>
      <c r="X470" s="128">
        <v>2</v>
      </c>
      <c r="Y470" s="131" t="str">
        <f ca="1">IF(ISBLANK(BudgetsTable[[#This Row],[budg_seq_yr]]),"FY"&amp;fiscalyear,"FY"&amp;fiscalyear-1+BudgetsTable[[#This Row],[budg_seq_yr]])</f>
        <v>FY19</v>
      </c>
      <c r="Z470" s="129">
        <v>102073</v>
      </c>
      <c r="AA470" s="128" t="s">
        <v>741</v>
      </c>
      <c r="AB470" s="128" t="s">
        <v>528</v>
      </c>
      <c r="AC470" s="126" t="s">
        <v>94</v>
      </c>
      <c r="AD470" s="128" t="s">
        <v>2399</v>
      </c>
    </row>
    <row r="471" spans="1:30">
      <c r="A471" s="125" t="s">
        <v>1654</v>
      </c>
      <c r="B471" s="126" t="s">
        <v>96</v>
      </c>
      <c r="C471" s="126">
        <f>C470+(BudgetsTable[[#This Row],[lead]]&lt;&gt;K470)</f>
        <v>93</v>
      </c>
      <c r="D471" s="126">
        <f>D470*(BudgetsTable[[#This Row],[lead]]=K470)+(BudgetsTable[[#This Row],[prop_id]]&lt;&gt;A470)</f>
        <v>1</v>
      </c>
      <c r="E471" s="127">
        <v>42935.535416666666</v>
      </c>
      <c r="F471" s="128" t="s">
        <v>242</v>
      </c>
      <c r="G471" s="128" t="s">
        <v>741</v>
      </c>
      <c r="H471" s="128" t="s">
        <v>528</v>
      </c>
      <c r="I471" s="126" t="s">
        <v>543</v>
      </c>
      <c r="J471" s="126" t="s">
        <v>13</v>
      </c>
      <c r="K471" s="128" t="s">
        <v>1654</v>
      </c>
      <c r="L471" s="7" t="str">
        <f>IF(BudgetsTable[[#This Row],[pi_last_name]]=" ","",HYPERLINK("https://www.ejacket.nsf.gov/ej/showProposal.do?Continue=Y&amp;ID="&amp;BudgetsTable[[#This Row],[prop_id]],BudgetsTable[[#This Row],[prop_id]]))</f>
        <v/>
      </c>
      <c r="M471" s="15" t="str">
        <f>IF(BudgetsTable[[#This Row],[pi_last_name]]=" ","",HYPERLINK("https://www.ejacket.nsf.gov/ej/processReviewAnalysis.do?dispatch=add&amp;uniqId="&amp;BudgetsTable[[#This Row],[prop_id]]&amp;PO_id,"&gt;ra"))</f>
        <v/>
      </c>
      <c r="N471" s="128" t="s">
        <v>13</v>
      </c>
      <c r="O471" s="7" t="str">
        <f>IF(BudgetsTable[[#This Row],[pi_last_name]]=" ","",HYPERLINK("mailto:"&amp;BudgetsTable[[#This Row],[pi_email]]&amp;"&amp;subject=Your NSF Proposal:  "&amp;BudgetsTable[[#This Row],[prop_id]],BudgetsTable[[#This Row],[pi_email]]))</f>
        <v/>
      </c>
      <c r="P471" s="128" t="s">
        <v>13</v>
      </c>
      <c r="Q471" s="128">
        <v>1</v>
      </c>
      <c r="R471" s="128">
        <v>1</v>
      </c>
      <c r="S471" s="129">
        <v>0</v>
      </c>
      <c r="T471" s="129">
        <v>2000</v>
      </c>
      <c r="U471" s="129">
        <v>0</v>
      </c>
      <c r="V471" s="130">
        <v>105652</v>
      </c>
      <c r="W471" s="128">
        <v>0</v>
      </c>
      <c r="X471" s="128">
        <v>3</v>
      </c>
      <c r="Y471" s="131" t="str">
        <f ca="1">IF(ISBLANK(BudgetsTable[[#This Row],[budg_seq_yr]]),"FY"&amp;fiscalyear,"FY"&amp;fiscalyear-1+BudgetsTable[[#This Row],[budg_seq_yr]])</f>
        <v>FY20</v>
      </c>
      <c r="Z471" s="129">
        <v>105652</v>
      </c>
      <c r="AA471" s="128" t="s">
        <v>741</v>
      </c>
      <c r="AB471" s="128" t="s">
        <v>528</v>
      </c>
      <c r="AC471" s="126" t="s">
        <v>94</v>
      </c>
      <c r="AD471" s="128" t="s">
        <v>2399</v>
      </c>
    </row>
    <row r="472" spans="1:30">
      <c r="A472" s="125" t="s">
        <v>1654</v>
      </c>
      <c r="B472" s="126" t="s">
        <v>96</v>
      </c>
      <c r="C472" s="126">
        <f>C471+(BudgetsTable[[#This Row],[lead]]&lt;&gt;K471)</f>
        <v>93</v>
      </c>
      <c r="D472" s="126">
        <f>D471*(BudgetsTable[[#This Row],[lead]]=K471)+(BudgetsTable[[#This Row],[prop_id]]&lt;&gt;A471)</f>
        <v>1</v>
      </c>
      <c r="E472" s="127">
        <v>42935.535416666666</v>
      </c>
      <c r="F472" s="128" t="s">
        <v>242</v>
      </c>
      <c r="G472" s="128" t="s">
        <v>741</v>
      </c>
      <c r="H472" s="128" t="s">
        <v>528</v>
      </c>
      <c r="I472" s="126" t="s">
        <v>543</v>
      </c>
      <c r="J472" s="126" t="s">
        <v>13</v>
      </c>
      <c r="K472" s="128" t="s">
        <v>1654</v>
      </c>
      <c r="L472" s="7" t="str">
        <f>IF(BudgetsTable[[#This Row],[pi_last_name]]=" ","",HYPERLINK("https://www.ejacket.nsf.gov/ej/showProposal.do?Continue=Y&amp;ID="&amp;BudgetsTable[[#This Row],[prop_id]],BudgetsTable[[#This Row],[prop_id]]))</f>
        <v/>
      </c>
      <c r="M472" s="15" t="str">
        <f>IF(BudgetsTable[[#This Row],[pi_last_name]]=" ","",HYPERLINK("https://www.ejacket.nsf.gov/ej/processReviewAnalysis.do?dispatch=add&amp;uniqId="&amp;BudgetsTable[[#This Row],[prop_id]]&amp;PO_id,"&gt;ra"))</f>
        <v/>
      </c>
      <c r="N472" s="128" t="s">
        <v>13</v>
      </c>
      <c r="O472" s="7" t="str">
        <f>IF(BudgetsTable[[#This Row],[pi_last_name]]=" ","",HYPERLINK("mailto:"&amp;BudgetsTable[[#This Row],[pi_email]]&amp;"&amp;subject=Your NSF Proposal:  "&amp;BudgetsTable[[#This Row],[prop_id]],BudgetsTable[[#This Row],[pi_email]]))</f>
        <v/>
      </c>
      <c r="P472" s="128" t="s">
        <v>13</v>
      </c>
      <c r="Q472" s="128">
        <v>1</v>
      </c>
      <c r="R472" s="128">
        <v>1</v>
      </c>
      <c r="S472" s="129">
        <v>0</v>
      </c>
      <c r="T472" s="129">
        <v>2000</v>
      </c>
      <c r="U472" s="129">
        <v>0</v>
      </c>
      <c r="V472" s="130">
        <v>109379</v>
      </c>
      <c r="W472" s="128">
        <v>0</v>
      </c>
      <c r="X472" s="128">
        <v>4</v>
      </c>
      <c r="Y472" s="131" t="str">
        <f ca="1">IF(ISBLANK(BudgetsTable[[#This Row],[budg_seq_yr]]),"FY"&amp;fiscalyear,"FY"&amp;fiscalyear-1+BudgetsTable[[#This Row],[budg_seq_yr]])</f>
        <v>FY21</v>
      </c>
      <c r="Z472" s="129">
        <v>109379</v>
      </c>
      <c r="AA472" s="128" t="s">
        <v>741</v>
      </c>
      <c r="AB472" s="128" t="s">
        <v>528</v>
      </c>
      <c r="AC472" s="126" t="s">
        <v>94</v>
      </c>
      <c r="AD472" s="128" t="s">
        <v>2399</v>
      </c>
    </row>
    <row r="473" spans="1:30">
      <c r="A473" s="125" t="s">
        <v>1654</v>
      </c>
      <c r="B473" s="126" t="s">
        <v>96</v>
      </c>
      <c r="C473" s="126">
        <f>C472+(BudgetsTable[[#This Row],[lead]]&lt;&gt;K472)</f>
        <v>93</v>
      </c>
      <c r="D473" s="126">
        <f>D472*(BudgetsTable[[#This Row],[lead]]=K472)+(BudgetsTable[[#This Row],[prop_id]]&lt;&gt;A472)</f>
        <v>1</v>
      </c>
      <c r="E473" s="127">
        <v>42935.535416666666</v>
      </c>
      <c r="F473" s="128" t="s">
        <v>242</v>
      </c>
      <c r="G473" s="128" t="s">
        <v>741</v>
      </c>
      <c r="H473" s="128" t="s">
        <v>528</v>
      </c>
      <c r="I473" s="126" t="s">
        <v>543</v>
      </c>
      <c r="J473" s="126" t="s">
        <v>13</v>
      </c>
      <c r="K473" s="128" t="s">
        <v>1654</v>
      </c>
      <c r="L473" s="7" t="str">
        <f>IF(BudgetsTable[[#This Row],[pi_last_name]]=" ","",HYPERLINK("https://www.ejacket.nsf.gov/ej/showProposal.do?Continue=Y&amp;ID="&amp;BudgetsTable[[#This Row],[prop_id]],BudgetsTable[[#This Row],[prop_id]]))</f>
        <v/>
      </c>
      <c r="M473" s="15" t="str">
        <f>IF(BudgetsTable[[#This Row],[pi_last_name]]=" ","",HYPERLINK("https://www.ejacket.nsf.gov/ej/processReviewAnalysis.do?dispatch=add&amp;uniqId="&amp;BudgetsTable[[#This Row],[prop_id]]&amp;PO_id,"&gt;ra"))</f>
        <v/>
      </c>
      <c r="N473" s="128" t="s">
        <v>13</v>
      </c>
      <c r="O473" s="7" t="str">
        <f>IF(BudgetsTable[[#This Row],[pi_last_name]]=" ","",HYPERLINK("mailto:"&amp;BudgetsTable[[#This Row],[pi_email]]&amp;"&amp;subject=Your NSF Proposal:  "&amp;BudgetsTable[[#This Row],[prop_id]],BudgetsTable[[#This Row],[pi_email]]))</f>
        <v/>
      </c>
      <c r="P473" s="128" t="s">
        <v>13</v>
      </c>
      <c r="Q473" s="128">
        <v>0</v>
      </c>
      <c r="R473" s="128">
        <v>0</v>
      </c>
      <c r="S473" s="129">
        <v>0</v>
      </c>
      <c r="T473" s="129">
        <v>2000</v>
      </c>
      <c r="U473" s="129">
        <v>0</v>
      </c>
      <c r="V473" s="130">
        <v>81786</v>
      </c>
      <c r="W473" s="128">
        <v>0</v>
      </c>
      <c r="X473" s="128">
        <v>5</v>
      </c>
      <c r="Y473" s="131" t="str">
        <f ca="1">IF(ISBLANK(BudgetsTable[[#This Row],[budg_seq_yr]]),"FY"&amp;fiscalyear,"FY"&amp;fiscalyear-1+BudgetsTable[[#This Row],[budg_seq_yr]])</f>
        <v>FY22</v>
      </c>
      <c r="Z473" s="129">
        <v>81786</v>
      </c>
      <c r="AA473" s="128" t="s">
        <v>741</v>
      </c>
      <c r="AB473" s="128" t="s">
        <v>528</v>
      </c>
      <c r="AC473" s="126" t="s">
        <v>94</v>
      </c>
      <c r="AD473" s="128" t="s">
        <v>2399</v>
      </c>
    </row>
    <row r="474" spans="1:30">
      <c r="A474" s="125" t="s">
        <v>1665</v>
      </c>
      <c r="B474" s="126" t="s">
        <v>96</v>
      </c>
      <c r="C474" s="126">
        <f>C473+(BudgetsTable[[#This Row],[lead]]&lt;&gt;K473)</f>
        <v>94</v>
      </c>
      <c r="D474" s="126">
        <f>D473*(BudgetsTable[[#This Row],[lead]]=K473)+(BudgetsTable[[#This Row],[prop_id]]&lt;&gt;A473)</f>
        <v>1</v>
      </c>
      <c r="E474" s="127">
        <v>42935.536805555559</v>
      </c>
      <c r="F474" s="128" t="s">
        <v>242</v>
      </c>
      <c r="G474" s="128" t="s">
        <v>741</v>
      </c>
      <c r="H474" s="128" t="s">
        <v>528</v>
      </c>
      <c r="I474" s="126" t="s">
        <v>543</v>
      </c>
      <c r="J474" s="126" t="s">
        <v>2407</v>
      </c>
      <c r="K474" s="128" t="s">
        <v>1665</v>
      </c>
      <c r="L474" s="7" t="str">
        <f>IF(BudgetsTable[[#This Row],[pi_last_name]]=" ","",HYPERLINK("https://www.ejacket.nsf.gov/ej/showProposal.do?Continue=Y&amp;ID="&amp;BudgetsTable[[#This Row],[prop_id]],BudgetsTable[[#This Row],[prop_id]]))</f>
        <v>1750443</v>
      </c>
      <c r="M474" s="15" t="str">
        <f>IF(BudgetsTable[[#This Row],[pi_last_name]]=" ","",HYPERLINK("https://www.ejacket.nsf.gov/ej/processReviewAnalysis.do?dispatch=add&amp;uniqId="&amp;BudgetsTable[[#This Row],[prop_id]]&amp;PO_id,"&gt;ra"))</f>
        <v>&gt;ra</v>
      </c>
      <c r="N474" s="128" t="s">
        <v>1666</v>
      </c>
      <c r="O474" s="7" t="str">
        <f>IF(BudgetsTable[[#This Row],[pi_last_name]]=" ","",HYPERLINK("mailto:"&amp;BudgetsTable[[#This Row],[pi_email]]&amp;"&amp;subject=Your NSF Proposal:  "&amp;BudgetsTable[[#This Row],[prop_id]],BudgetsTable[[#This Row],[pi_email]]))</f>
        <v>gillat.kol@gmail.com</v>
      </c>
      <c r="P474" s="128" t="s">
        <v>2209</v>
      </c>
      <c r="Q474" s="128"/>
      <c r="R474" s="128"/>
      <c r="S474" s="129"/>
      <c r="T474" s="129"/>
      <c r="U474" s="129"/>
      <c r="V474" s="130"/>
      <c r="W474" s="128">
        <v>0</v>
      </c>
      <c r="X474" s="128"/>
      <c r="Y474" s="131" t="str">
        <f ca="1">IF(ISBLANK(BudgetsTable[[#This Row],[budg_seq_yr]]),"FY"&amp;fiscalyear,"FY"&amp;fiscalyear-1+BudgetsTable[[#This Row],[budg_seq_yr]])</f>
        <v>FY18</v>
      </c>
      <c r="Z474" s="129">
        <v>550000</v>
      </c>
      <c r="AA474" s="128" t="s">
        <v>741</v>
      </c>
      <c r="AB474" s="128" t="s">
        <v>528</v>
      </c>
      <c r="AC474" s="126" t="s">
        <v>94</v>
      </c>
      <c r="AD474" s="128" t="s">
        <v>2365</v>
      </c>
    </row>
    <row r="475" spans="1:30">
      <c r="A475" s="125" t="s">
        <v>1665</v>
      </c>
      <c r="B475" s="126" t="s">
        <v>96</v>
      </c>
      <c r="C475" s="126">
        <f>C474+(BudgetsTable[[#This Row],[lead]]&lt;&gt;K474)</f>
        <v>94</v>
      </c>
      <c r="D475" s="126">
        <f>D474*(BudgetsTable[[#This Row],[lead]]=K474)+(BudgetsTable[[#This Row],[prop_id]]&lt;&gt;A474)</f>
        <v>1</v>
      </c>
      <c r="E475" s="127">
        <v>42935.536805555559</v>
      </c>
      <c r="F475" s="128" t="s">
        <v>242</v>
      </c>
      <c r="G475" s="128" t="s">
        <v>741</v>
      </c>
      <c r="H475" s="128" t="s">
        <v>528</v>
      </c>
      <c r="I475" s="126" t="s">
        <v>543</v>
      </c>
      <c r="J475" s="126" t="s">
        <v>13</v>
      </c>
      <c r="K475" s="128" t="s">
        <v>1665</v>
      </c>
      <c r="L475" s="7" t="str">
        <f>IF(BudgetsTable[[#This Row],[pi_last_name]]=" ","",HYPERLINK("https://www.ejacket.nsf.gov/ej/showProposal.do?Continue=Y&amp;ID="&amp;BudgetsTable[[#This Row],[prop_id]],BudgetsTable[[#This Row],[prop_id]]))</f>
        <v/>
      </c>
      <c r="M475" s="15" t="str">
        <f>IF(BudgetsTable[[#This Row],[pi_last_name]]=" ","",HYPERLINK("https://www.ejacket.nsf.gov/ej/processReviewAnalysis.do?dispatch=add&amp;uniqId="&amp;BudgetsTable[[#This Row],[prop_id]]&amp;PO_id,"&gt;ra"))</f>
        <v/>
      </c>
      <c r="N475" s="128" t="s">
        <v>13</v>
      </c>
      <c r="O475" s="7" t="str">
        <f>IF(BudgetsTable[[#This Row],[pi_last_name]]=" ","",HYPERLINK("mailto:"&amp;BudgetsTable[[#This Row],[pi_email]]&amp;"&amp;subject=Your NSF Proposal:  "&amp;BudgetsTable[[#This Row],[prop_id]],BudgetsTable[[#This Row],[pi_email]]))</f>
        <v/>
      </c>
      <c r="P475" s="128" t="s">
        <v>13</v>
      </c>
      <c r="Q475" s="128">
        <v>1</v>
      </c>
      <c r="R475" s="128">
        <v>1</v>
      </c>
      <c r="S475" s="129">
        <v>0</v>
      </c>
      <c r="T475" s="129">
        <v>0</v>
      </c>
      <c r="U475" s="129">
        <v>0</v>
      </c>
      <c r="V475" s="130">
        <v>103323</v>
      </c>
      <c r="W475" s="128">
        <v>0</v>
      </c>
      <c r="X475" s="128">
        <v>1</v>
      </c>
      <c r="Y475" s="131" t="str">
        <f ca="1">IF(ISBLANK(BudgetsTable[[#This Row],[budg_seq_yr]]),"FY"&amp;fiscalyear,"FY"&amp;fiscalyear-1+BudgetsTable[[#This Row],[budg_seq_yr]])</f>
        <v>FY18</v>
      </c>
      <c r="Z475" s="129">
        <v>103323</v>
      </c>
      <c r="AA475" s="128" t="s">
        <v>741</v>
      </c>
      <c r="AB475" s="128" t="s">
        <v>528</v>
      </c>
      <c r="AC475" s="126" t="s">
        <v>94</v>
      </c>
      <c r="AD475" s="128" t="s">
        <v>2365</v>
      </c>
    </row>
    <row r="476" spans="1:30">
      <c r="A476" s="125" t="s">
        <v>1665</v>
      </c>
      <c r="B476" s="126" t="s">
        <v>96</v>
      </c>
      <c r="C476" s="126">
        <f>C475+(BudgetsTable[[#This Row],[lead]]&lt;&gt;K475)</f>
        <v>94</v>
      </c>
      <c r="D476" s="126">
        <f>D475*(BudgetsTable[[#This Row],[lead]]=K475)+(BudgetsTable[[#This Row],[prop_id]]&lt;&gt;A475)</f>
        <v>1</v>
      </c>
      <c r="E476" s="127">
        <v>42935.536805555559</v>
      </c>
      <c r="F476" s="128" t="s">
        <v>242</v>
      </c>
      <c r="G476" s="128" t="s">
        <v>741</v>
      </c>
      <c r="H476" s="128" t="s">
        <v>528</v>
      </c>
      <c r="I476" s="126" t="s">
        <v>543</v>
      </c>
      <c r="J476" s="126" t="s">
        <v>13</v>
      </c>
      <c r="K476" s="128" t="s">
        <v>1665</v>
      </c>
      <c r="L476" s="7" t="str">
        <f>IF(BudgetsTable[[#This Row],[pi_last_name]]=" ","",HYPERLINK("https://www.ejacket.nsf.gov/ej/showProposal.do?Continue=Y&amp;ID="&amp;BudgetsTable[[#This Row],[prop_id]],BudgetsTable[[#This Row],[prop_id]]))</f>
        <v/>
      </c>
      <c r="M476" s="15" t="str">
        <f>IF(BudgetsTable[[#This Row],[pi_last_name]]=" ","",HYPERLINK("https://www.ejacket.nsf.gov/ej/processReviewAnalysis.do?dispatch=add&amp;uniqId="&amp;BudgetsTable[[#This Row],[prop_id]]&amp;PO_id,"&gt;ra"))</f>
        <v/>
      </c>
      <c r="N476" s="128" t="s">
        <v>13</v>
      </c>
      <c r="O476" s="7" t="str">
        <f>IF(BudgetsTable[[#This Row],[pi_last_name]]=" ","",HYPERLINK("mailto:"&amp;BudgetsTable[[#This Row],[pi_email]]&amp;"&amp;subject=Your NSF Proposal:  "&amp;BudgetsTable[[#This Row],[prop_id]],BudgetsTable[[#This Row],[pi_email]]))</f>
        <v/>
      </c>
      <c r="P476" s="128" t="s">
        <v>13</v>
      </c>
      <c r="Q476" s="128">
        <v>1</v>
      </c>
      <c r="R476" s="128">
        <v>1</v>
      </c>
      <c r="S476" s="129">
        <v>0</v>
      </c>
      <c r="T476" s="129">
        <v>0</v>
      </c>
      <c r="U476" s="129">
        <v>0</v>
      </c>
      <c r="V476" s="130">
        <v>106541</v>
      </c>
      <c r="W476" s="128">
        <v>0</v>
      </c>
      <c r="X476" s="128">
        <v>2</v>
      </c>
      <c r="Y476" s="131" t="str">
        <f ca="1">IF(ISBLANK(BudgetsTable[[#This Row],[budg_seq_yr]]),"FY"&amp;fiscalyear,"FY"&amp;fiscalyear-1+BudgetsTable[[#This Row],[budg_seq_yr]])</f>
        <v>FY19</v>
      </c>
      <c r="Z476" s="129">
        <v>106541</v>
      </c>
      <c r="AA476" s="128" t="s">
        <v>741</v>
      </c>
      <c r="AB476" s="128" t="s">
        <v>528</v>
      </c>
      <c r="AC476" s="126" t="s">
        <v>94</v>
      </c>
      <c r="AD476" s="128" t="s">
        <v>2365</v>
      </c>
    </row>
    <row r="477" spans="1:30">
      <c r="A477" s="125" t="s">
        <v>1665</v>
      </c>
      <c r="B477" s="126" t="s">
        <v>96</v>
      </c>
      <c r="C477" s="126">
        <f>C476+(BudgetsTable[[#This Row],[lead]]&lt;&gt;K476)</f>
        <v>94</v>
      </c>
      <c r="D477" s="126">
        <f>D476*(BudgetsTable[[#This Row],[lead]]=K476)+(BudgetsTable[[#This Row],[prop_id]]&lt;&gt;A476)</f>
        <v>1</v>
      </c>
      <c r="E477" s="127">
        <v>42935.536805555559</v>
      </c>
      <c r="F477" s="128" t="s">
        <v>242</v>
      </c>
      <c r="G477" s="128" t="s">
        <v>741</v>
      </c>
      <c r="H477" s="128" t="s">
        <v>528</v>
      </c>
      <c r="I477" s="126" t="s">
        <v>543</v>
      </c>
      <c r="J477" s="126" t="s">
        <v>13</v>
      </c>
      <c r="K477" s="128" t="s">
        <v>1665</v>
      </c>
      <c r="L477" s="7" t="str">
        <f>IF(BudgetsTable[[#This Row],[pi_last_name]]=" ","",HYPERLINK("https://www.ejacket.nsf.gov/ej/showProposal.do?Continue=Y&amp;ID="&amp;BudgetsTable[[#This Row],[prop_id]],BudgetsTable[[#This Row],[prop_id]]))</f>
        <v/>
      </c>
      <c r="M477" s="15" t="str">
        <f>IF(BudgetsTable[[#This Row],[pi_last_name]]=" ","",HYPERLINK("https://www.ejacket.nsf.gov/ej/processReviewAnalysis.do?dispatch=add&amp;uniqId="&amp;BudgetsTable[[#This Row],[prop_id]]&amp;PO_id,"&gt;ra"))</f>
        <v/>
      </c>
      <c r="N477" s="128" t="s">
        <v>13</v>
      </c>
      <c r="O477" s="7" t="str">
        <f>IF(BudgetsTable[[#This Row],[pi_last_name]]=" ","",HYPERLINK("mailto:"&amp;BudgetsTable[[#This Row],[pi_email]]&amp;"&amp;subject=Your NSF Proposal:  "&amp;BudgetsTable[[#This Row],[prop_id]],BudgetsTable[[#This Row],[pi_email]]))</f>
        <v/>
      </c>
      <c r="P477" s="128" t="s">
        <v>13</v>
      </c>
      <c r="Q477" s="128">
        <v>1</v>
      </c>
      <c r="R477" s="128">
        <v>1</v>
      </c>
      <c r="S477" s="129">
        <v>0</v>
      </c>
      <c r="T477" s="129">
        <v>0</v>
      </c>
      <c r="U477" s="129">
        <v>0</v>
      </c>
      <c r="V477" s="130">
        <v>109877</v>
      </c>
      <c r="W477" s="128">
        <v>0</v>
      </c>
      <c r="X477" s="128">
        <v>3</v>
      </c>
      <c r="Y477" s="131" t="str">
        <f ca="1">IF(ISBLANK(BudgetsTable[[#This Row],[budg_seq_yr]]),"FY"&amp;fiscalyear,"FY"&amp;fiscalyear-1+BudgetsTable[[#This Row],[budg_seq_yr]])</f>
        <v>FY20</v>
      </c>
      <c r="Z477" s="129">
        <v>109877</v>
      </c>
      <c r="AA477" s="128" t="s">
        <v>741</v>
      </c>
      <c r="AB477" s="128" t="s">
        <v>528</v>
      </c>
      <c r="AC477" s="126" t="s">
        <v>94</v>
      </c>
      <c r="AD477" s="128" t="s">
        <v>2365</v>
      </c>
    </row>
    <row r="478" spans="1:30">
      <c r="A478" s="125" t="s">
        <v>1665</v>
      </c>
      <c r="B478" s="126" t="s">
        <v>96</v>
      </c>
      <c r="C478" s="126">
        <f>C477+(BudgetsTable[[#This Row],[lead]]&lt;&gt;K477)</f>
        <v>94</v>
      </c>
      <c r="D478" s="126">
        <f>D477*(BudgetsTable[[#This Row],[lead]]=K477)+(BudgetsTable[[#This Row],[prop_id]]&lt;&gt;A477)</f>
        <v>1</v>
      </c>
      <c r="E478" s="127">
        <v>42935.536805555559</v>
      </c>
      <c r="F478" s="128" t="s">
        <v>242</v>
      </c>
      <c r="G478" s="128" t="s">
        <v>741</v>
      </c>
      <c r="H478" s="128" t="s">
        <v>528</v>
      </c>
      <c r="I478" s="126" t="s">
        <v>543</v>
      </c>
      <c r="J478" s="126" t="s">
        <v>13</v>
      </c>
      <c r="K478" s="128" t="s">
        <v>1665</v>
      </c>
      <c r="L478" s="7" t="str">
        <f>IF(BudgetsTable[[#This Row],[pi_last_name]]=" ","",HYPERLINK("https://www.ejacket.nsf.gov/ej/showProposal.do?Continue=Y&amp;ID="&amp;BudgetsTable[[#This Row],[prop_id]],BudgetsTable[[#This Row],[prop_id]]))</f>
        <v/>
      </c>
      <c r="M478" s="15" t="str">
        <f>IF(BudgetsTable[[#This Row],[pi_last_name]]=" ","",HYPERLINK("https://www.ejacket.nsf.gov/ej/processReviewAnalysis.do?dispatch=add&amp;uniqId="&amp;BudgetsTable[[#This Row],[prop_id]]&amp;PO_id,"&gt;ra"))</f>
        <v/>
      </c>
      <c r="N478" s="128" t="s">
        <v>13</v>
      </c>
      <c r="O478" s="7" t="str">
        <f>IF(BudgetsTable[[#This Row],[pi_last_name]]=" ","",HYPERLINK("mailto:"&amp;BudgetsTable[[#This Row],[pi_email]]&amp;"&amp;subject=Your NSF Proposal:  "&amp;BudgetsTable[[#This Row],[prop_id]],BudgetsTable[[#This Row],[pi_email]]))</f>
        <v/>
      </c>
      <c r="P478" s="128" t="s">
        <v>13</v>
      </c>
      <c r="Q478" s="128">
        <v>1</v>
      </c>
      <c r="R478" s="128">
        <v>1</v>
      </c>
      <c r="S478" s="129">
        <v>0</v>
      </c>
      <c r="T478" s="129">
        <v>0</v>
      </c>
      <c r="U478" s="129">
        <v>0</v>
      </c>
      <c r="V478" s="130">
        <v>113336</v>
      </c>
      <c r="W478" s="128">
        <v>0</v>
      </c>
      <c r="X478" s="128">
        <v>4</v>
      </c>
      <c r="Y478" s="131" t="str">
        <f ca="1">IF(ISBLANK(BudgetsTable[[#This Row],[budg_seq_yr]]),"FY"&amp;fiscalyear,"FY"&amp;fiscalyear-1+BudgetsTable[[#This Row],[budg_seq_yr]])</f>
        <v>FY21</v>
      </c>
      <c r="Z478" s="129">
        <v>113336</v>
      </c>
      <c r="AA478" s="128" t="s">
        <v>741</v>
      </c>
      <c r="AB478" s="128" t="s">
        <v>528</v>
      </c>
      <c r="AC478" s="126" t="s">
        <v>94</v>
      </c>
      <c r="AD478" s="128" t="s">
        <v>2365</v>
      </c>
    </row>
    <row r="479" spans="1:30">
      <c r="A479" s="125" t="s">
        <v>1665</v>
      </c>
      <c r="B479" s="126" t="s">
        <v>96</v>
      </c>
      <c r="C479" s="126">
        <f>C478+(BudgetsTable[[#This Row],[lead]]&lt;&gt;K478)</f>
        <v>94</v>
      </c>
      <c r="D479" s="126">
        <f>D478*(BudgetsTable[[#This Row],[lead]]=K478)+(BudgetsTable[[#This Row],[prop_id]]&lt;&gt;A478)</f>
        <v>1</v>
      </c>
      <c r="E479" s="127">
        <v>42935.536805555559</v>
      </c>
      <c r="F479" s="128" t="s">
        <v>242</v>
      </c>
      <c r="G479" s="128" t="s">
        <v>741</v>
      </c>
      <c r="H479" s="128" t="s">
        <v>528</v>
      </c>
      <c r="I479" s="126" t="s">
        <v>543</v>
      </c>
      <c r="J479" s="126" t="s">
        <v>13</v>
      </c>
      <c r="K479" s="128" t="s">
        <v>1665</v>
      </c>
      <c r="L479" s="7" t="str">
        <f>IF(BudgetsTable[[#This Row],[pi_last_name]]=" ","",HYPERLINK("https://www.ejacket.nsf.gov/ej/showProposal.do?Continue=Y&amp;ID="&amp;BudgetsTable[[#This Row],[prop_id]],BudgetsTable[[#This Row],[prop_id]]))</f>
        <v/>
      </c>
      <c r="M479" s="15" t="str">
        <f>IF(BudgetsTable[[#This Row],[pi_last_name]]=" ","",HYPERLINK("https://www.ejacket.nsf.gov/ej/processReviewAnalysis.do?dispatch=add&amp;uniqId="&amp;BudgetsTable[[#This Row],[prop_id]]&amp;PO_id,"&gt;ra"))</f>
        <v/>
      </c>
      <c r="N479" s="128" t="s">
        <v>13</v>
      </c>
      <c r="O479" s="7" t="str">
        <f>IF(BudgetsTable[[#This Row],[pi_last_name]]=" ","",HYPERLINK("mailto:"&amp;BudgetsTable[[#This Row],[pi_email]]&amp;"&amp;subject=Your NSF Proposal:  "&amp;BudgetsTable[[#This Row],[prop_id]],BudgetsTable[[#This Row],[pi_email]]))</f>
        <v/>
      </c>
      <c r="P479" s="128" t="s">
        <v>13</v>
      </c>
      <c r="Q479" s="128">
        <v>1</v>
      </c>
      <c r="R479" s="128">
        <v>1</v>
      </c>
      <c r="S479" s="129">
        <v>0</v>
      </c>
      <c r="T479" s="129">
        <v>0</v>
      </c>
      <c r="U479" s="129">
        <v>0</v>
      </c>
      <c r="V479" s="130">
        <v>116923</v>
      </c>
      <c r="W479" s="128">
        <v>0</v>
      </c>
      <c r="X479" s="128">
        <v>5</v>
      </c>
      <c r="Y479" s="131" t="str">
        <f ca="1">IF(ISBLANK(BudgetsTable[[#This Row],[budg_seq_yr]]),"FY"&amp;fiscalyear,"FY"&amp;fiscalyear-1+BudgetsTable[[#This Row],[budg_seq_yr]])</f>
        <v>FY22</v>
      </c>
      <c r="Z479" s="129">
        <v>116923</v>
      </c>
      <c r="AA479" s="128" t="s">
        <v>741</v>
      </c>
      <c r="AB479" s="128" t="s">
        <v>528</v>
      </c>
      <c r="AC479" s="126" t="s">
        <v>94</v>
      </c>
      <c r="AD479" s="128" t="s">
        <v>2365</v>
      </c>
    </row>
    <row r="480" spans="1:30">
      <c r="A480" s="125" t="s">
        <v>1697</v>
      </c>
      <c r="B480" s="126" t="s">
        <v>96</v>
      </c>
      <c r="C480" s="126">
        <f>C479+(BudgetsTable[[#This Row],[lead]]&lt;&gt;K479)</f>
        <v>95</v>
      </c>
      <c r="D480" s="126">
        <f>D479*(BudgetsTable[[#This Row],[lead]]=K479)+(BudgetsTable[[#This Row],[prop_id]]&lt;&gt;A479)</f>
        <v>1</v>
      </c>
      <c r="E480" s="127">
        <v>42935.54583333333</v>
      </c>
      <c r="F480" s="128" t="s">
        <v>242</v>
      </c>
      <c r="G480" s="128" t="s">
        <v>741</v>
      </c>
      <c r="H480" s="128" t="s">
        <v>528</v>
      </c>
      <c r="I480" s="126" t="s">
        <v>1530</v>
      </c>
      <c r="J480" s="126" t="s">
        <v>2411</v>
      </c>
      <c r="K480" s="128" t="s">
        <v>1697</v>
      </c>
      <c r="L480" s="7" t="str">
        <f>IF(BudgetsTable[[#This Row],[pi_last_name]]=" ","",HYPERLINK("https://www.ejacket.nsf.gov/ej/showProposal.do?Continue=Y&amp;ID="&amp;BudgetsTable[[#This Row],[prop_id]],BudgetsTable[[#This Row],[prop_id]]))</f>
        <v>1750463</v>
      </c>
      <c r="M480" s="15" t="str">
        <f>IF(BudgetsTable[[#This Row],[pi_last_name]]=" ","",HYPERLINK("https://www.ejacket.nsf.gov/ej/processReviewAnalysis.do?dispatch=add&amp;uniqId="&amp;BudgetsTable[[#This Row],[prop_id]]&amp;PO_id,"&gt;ra"))</f>
        <v>&gt;ra</v>
      </c>
      <c r="N480" s="128" t="s">
        <v>1698</v>
      </c>
      <c r="O480" s="7" t="str">
        <f>IF(BudgetsTable[[#This Row],[pi_last_name]]=" ","",HYPERLINK("mailto:"&amp;BudgetsTable[[#This Row],[pi_email]]&amp;"&amp;subject=Your NSF Proposal:  "&amp;BudgetsTable[[#This Row],[prop_id]],BudgetsTable[[#This Row],[pi_email]]))</f>
        <v>sharathr@vt.edu</v>
      </c>
      <c r="P480" s="128" t="s">
        <v>2184</v>
      </c>
      <c r="Q480" s="128"/>
      <c r="R480" s="128"/>
      <c r="S480" s="129"/>
      <c r="T480" s="129"/>
      <c r="U480" s="129"/>
      <c r="V480" s="130"/>
      <c r="W480" s="128">
        <v>0</v>
      </c>
      <c r="X480" s="128"/>
      <c r="Y480" s="131" t="str">
        <f ca="1">IF(ISBLANK(BudgetsTable[[#This Row],[budg_seq_yr]]),"FY"&amp;fiscalyear,"FY"&amp;fiscalyear-1+BudgetsTable[[#This Row],[budg_seq_yr]])</f>
        <v>FY18</v>
      </c>
      <c r="Z480" s="129">
        <v>533991</v>
      </c>
      <c r="AA480" s="128" t="s">
        <v>741</v>
      </c>
      <c r="AB480" s="128" t="s">
        <v>528</v>
      </c>
      <c r="AC480" s="126" t="s">
        <v>94</v>
      </c>
      <c r="AD480" s="128" t="s">
        <v>744</v>
      </c>
    </row>
    <row r="481" spans="1:30">
      <c r="A481" s="125" t="s">
        <v>1697</v>
      </c>
      <c r="B481" s="126" t="s">
        <v>96</v>
      </c>
      <c r="C481" s="126">
        <f>C480+(BudgetsTable[[#This Row],[lead]]&lt;&gt;K480)</f>
        <v>95</v>
      </c>
      <c r="D481" s="126">
        <f>D480*(BudgetsTable[[#This Row],[lead]]=K480)+(BudgetsTable[[#This Row],[prop_id]]&lt;&gt;A480)</f>
        <v>1</v>
      </c>
      <c r="E481" s="127">
        <v>42935.54583333333</v>
      </c>
      <c r="F481" s="128" t="s">
        <v>242</v>
      </c>
      <c r="G481" s="128" t="s">
        <v>741</v>
      </c>
      <c r="H481" s="128" t="s">
        <v>528</v>
      </c>
      <c r="I481" s="126" t="s">
        <v>1530</v>
      </c>
      <c r="J481" s="126" t="s">
        <v>13</v>
      </c>
      <c r="K481" s="128" t="s">
        <v>1697</v>
      </c>
      <c r="L481" s="7" t="str">
        <f>IF(BudgetsTable[[#This Row],[pi_last_name]]=" ","",HYPERLINK("https://www.ejacket.nsf.gov/ej/showProposal.do?Continue=Y&amp;ID="&amp;BudgetsTable[[#This Row],[prop_id]],BudgetsTable[[#This Row],[prop_id]]))</f>
        <v/>
      </c>
      <c r="M481" s="15" t="str">
        <f>IF(BudgetsTable[[#This Row],[pi_last_name]]=" ","",HYPERLINK("https://www.ejacket.nsf.gov/ej/processReviewAnalysis.do?dispatch=add&amp;uniqId="&amp;BudgetsTable[[#This Row],[prop_id]]&amp;PO_id,"&gt;ra"))</f>
        <v/>
      </c>
      <c r="N481" s="128" t="s">
        <v>13</v>
      </c>
      <c r="O481" s="7" t="str">
        <f>IF(BudgetsTable[[#This Row],[pi_last_name]]=" ","",HYPERLINK("mailto:"&amp;BudgetsTable[[#This Row],[pi_email]]&amp;"&amp;subject=Your NSF Proposal:  "&amp;BudgetsTable[[#This Row],[prop_id]],BudgetsTable[[#This Row],[pi_email]]))</f>
        <v/>
      </c>
      <c r="P481" s="128" t="s">
        <v>13</v>
      </c>
      <c r="Q481" s="128">
        <v>1</v>
      </c>
      <c r="R481" s="128">
        <v>1.5</v>
      </c>
      <c r="S481" s="129">
        <v>0</v>
      </c>
      <c r="T481" s="129">
        <v>0</v>
      </c>
      <c r="U481" s="129">
        <v>0</v>
      </c>
      <c r="V481" s="130">
        <v>104160</v>
      </c>
      <c r="W481" s="128">
        <v>0</v>
      </c>
      <c r="X481" s="128">
        <v>1</v>
      </c>
      <c r="Y481" s="131" t="str">
        <f ca="1">IF(ISBLANK(BudgetsTable[[#This Row],[budg_seq_yr]]),"FY"&amp;fiscalyear,"FY"&amp;fiscalyear-1+BudgetsTable[[#This Row],[budg_seq_yr]])</f>
        <v>FY18</v>
      </c>
      <c r="Z481" s="129">
        <v>104160</v>
      </c>
      <c r="AA481" s="128" t="s">
        <v>741</v>
      </c>
      <c r="AB481" s="128" t="s">
        <v>528</v>
      </c>
      <c r="AC481" s="126" t="s">
        <v>94</v>
      </c>
      <c r="AD481" s="128" t="s">
        <v>744</v>
      </c>
    </row>
    <row r="482" spans="1:30">
      <c r="A482" s="125" t="s">
        <v>1697</v>
      </c>
      <c r="B482" s="126" t="s">
        <v>96</v>
      </c>
      <c r="C482" s="126">
        <f>C481+(BudgetsTable[[#This Row],[lead]]&lt;&gt;K481)</f>
        <v>95</v>
      </c>
      <c r="D482" s="126">
        <f>D481*(BudgetsTable[[#This Row],[lead]]=K481)+(BudgetsTable[[#This Row],[prop_id]]&lt;&gt;A481)</f>
        <v>1</v>
      </c>
      <c r="E482" s="127">
        <v>42935.54583333333</v>
      </c>
      <c r="F482" s="128" t="s">
        <v>242</v>
      </c>
      <c r="G482" s="128" t="s">
        <v>741</v>
      </c>
      <c r="H482" s="128" t="s">
        <v>528</v>
      </c>
      <c r="I482" s="126" t="s">
        <v>1530</v>
      </c>
      <c r="J482" s="126" t="s">
        <v>13</v>
      </c>
      <c r="K482" s="128" t="s">
        <v>1697</v>
      </c>
      <c r="L482" s="7" t="str">
        <f>IF(BudgetsTable[[#This Row],[pi_last_name]]=" ","",HYPERLINK("https://www.ejacket.nsf.gov/ej/showProposal.do?Continue=Y&amp;ID="&amp;BudgetsTable[[#This Row],[prop_id]],BudgetsTable[[#This Row],[prop_id]]))</f>
        <v/>
      </c>
      <c r="M482" s="15" t="str">
        <f>IF(BudgetsTable[[#This Row],[pi_last_name]]=" ","",HYPERLINK("https://www.ejacket.nsf.gov/ej/processReviewAnalysis.do?dispatch=add&amp;uniqId="&amp;BudgetsTable[[#This Row],[prop_id]]&amp;PO_id,"&gt;ra"))</f>
        <v/>
      </c>
      <c r="N482" s="128" t="s">
        <v>13</v>
      </c>
      <c r="O482" s="7" t="str">
        <f>IF(BudgetsTable[[#This Row],[pi_last_name]]=" ","",HYPERLINK("mailto:"&amp;BudgetsTable[[#This Row],[pi_email]]&amp;"&amp;subject=Your NSF Proposal:  "&amp;BudgetsTable[[#This Row],[prop_id]],BudgetsTable[[#This Row],[pi_email]]))</f>
        <v/>
      </c>
      <c r="P482" s="128" t="s">
        <v>13</v>
      </c>
      <c r="Q482" s="128">
        <v>1</v>
      </c>
      <c r="R482" s="128">
        <v>1.5</v>
      </c>
      <c r="S482" s="129">
        <v>0</v>
      </c>
      <c r="T482" s="129">
        <v>0</v>
      </c>
      <c r="U482" s="129">
        <v>0</v>
      </c>
      <c r="V482" s="130">
        <v>102988</v>
      </c>
      <c r="W482" s="128">
        <v>0</v>
      </c>
      <c r="X482" s="128">
        <v>2</v>
      </c>
      <c r="Y482" s="131" t="str">
        <f ca="1">IF(ISBLANK(BudgetsTable[[#This Row],[budg_seq_yr]]),"FY"&amp;fiscalyear,"FY"&amp;fiscalyear-1+BudgetsTable[[#This Row],[budg_seq_yr]])</f>
        <v>FY19</v>
      </c>
      <c r="Z482" s="129">
        <v>102988</v>
      </c>
      <c r="AA482" s="128" t="s">
        <v>741</v>
      </c>
      <c r="AB482" s="128" t="s">
        <v>528</v>
      </c>
      <c r="AC482" s="126" t="s">
        <v>94</v>
      </c>
      <c r="AD482" s="128" t="s">
        <v>744</v>
      </c>
    </row>
    <row r="483" spans="1:30">
      <c r="A483" s="125" t="s">
        <v>1697</v>
      </c>
      <c r="B483" s="126" t="s">
        <v>96</v>
      </c>
      <c r="C483" s="126">
        <f>C482+(BudgetsTable[[#This Row],[lead]]&lt;&gt;K482)</f>
        <v>95</v>
      </c>
      <c r="D483" s="126">
        <f>D482*(BudgetsTable[[#This Row],[lead]]=K482)+(BudgetsTable[[#This Row],[prop_id]]&lt;&gt;A482)</f>
        <v>1</v>
      </c>
      <c r="E483" s="127">
        <v>42935.54583333333</v>
      </c>
      <c r="F483" s="128" t="s">
        <v>242</v>
      </c>
      <c r="G483" s="128" t="s">
        <v>741</v>
      </c>
      <c r="H483" s="128" t="s">
        <v>528</v>
      </c>
      <c r="I483" s="126" t="s">
        <v>1530</v>
      </c>
      <c r="J483" s="126" t="s">
        <v>13</v>
      </c>
      <c r="K483" s="128" t="s">
        <v>1697</v>
      </c>
      <c r="L483" s="7" t="str">
        <f>IF(BudgetsTable[[#This Row],[pi_last_name]]=" ","",HYPERLINK("https://www.ejacket.nsf.gov/ej/showProposal.do?Continue=Y&amp;ID="&amp;BudgetsTable[[#This Row],[prop_id]],BudgetsTable[[#This Row],[prop_id]]))</f>
        <v/>
      </c>
      <c r="M483" s="15" t="str">
        <f>IF(BudgetsTable[[#This Row],[pi_last_name]]=" ","",HYPERLINK("https://www.ejacket.nsf.gov/ej/processReviewAnalysis.do?dispatch=add&amp;uniqId="&amp;BudgetsTable[[#This Row],[prop_id]]&amp;PO_id,"&gt;ra"))</f>
        <v/>
      </c>
      <c r="N483" s="128" t="s">
        <v>13</v>
      </c>
      <c r="O483" s="7" t="str">
        <f>IF(BudgetsTable[[#This Row],[pi_last_name]]=" ","",HYPERLINK("mailto:"&amp;BudgetsTable[[#This Row],[pi_email]]&amp;"&amp;subject=Your NSF Proposal:  "&amp;BudgetsTable[[#This Row],[prop_id]],BudgetsTable[[#This Row],[pi_email]]))</f>
        <v/>
      </c>
      <c r="P483" s="128" t="s">
        <v>13</v>
      </c>
      <c r="Q483" s="128">
        <v>1</v>
      </c>
      <c r="R483" s="128">
        <v>1.5</v>
      </c>
      <c r="S483" s="129">
        <v>0</v>
      </c>
      <c r="T483" s="129">
        <v>2500</v>
      </c>
      <c r="U483" s="129">
        <v>0</v>
      </c>
      <c r="V483" s="130">
        <v>115813</v>
      </c>
      <c r="W483" s="128">
        <v>0</v>
      </c>
      <c r="X483" s="128">
        <v>3</v>
      </c>
      <c r="Y483" s="131" t="str">
        <f ca="1">IF(ISBLANK(BudgetsTable[[#This Row],[budg_seq_yr]]),"FY"&amp;fiscalyear,"FY"&amp;fiscalyear-1+BudgetsTable[[#This Row],[budg_seq_yr]])</f>
        <v>FY20</v>
      </c>
      <c r="Z483" s="129">
        <v>115813</v>
      </c>
      <c r="AA483" s="128" t="s">
        <v>741</v>
      </c>
      <c r="AB483" s="128" t="s">
        <v>528</v>
      </c>
      <c r="AC483" s="126" t="s">
        <v>94</v>
      </c>
      <c r="AD483" s="128" t="s">
        <v>744</v>
      </c>
    </row>
    <row r="484" spans="1:30">
      <c r="A484" s="125" t="s">
        <v>1697</v>
      </c>
      <c r="B484" s="126" t="s">
        <v>96</v>
      </c>
      <c r="C484" s="126">
        <f>C483+(BudgetsTable[[#This Row],[lead]]&lt;&gt;K483)</f>
        <v>95</v>
      </c>
      <c r="D484" s="126">
        <f>D483*(BudgetsTable[[#This Row],[lead]]=K483)+(BudgetsTable[[#This Row],[prop_id]]&lt;&gt;A483)</f>
        <v>1</v>
      </c>
      <c r="E484" s="127">
        <v>42935.54583333333</v>
      </c>
      <c r="F484" s="128" t="s">
        <v>242</v>
      </c>
      <c r="G484" s="128" t="s">
        <v>741</v>
      </c>
      <c r="H484" s="128" t="s">
        <v>528</v>
      </c>
      <c r="I484" s="126" t="s">
        <v>1530</v>
      </c>
      <c r="J484" s="126" t="s">
        <v>13</v>
      </c>
      <c r="K484" s="128" t="s">
        <v>1697</v>
      </c>
      <c r="L484" s="7" t="str">
        <f>IF(BudgetsTable[[#This Row],[pi_last_name]]=" ","",HYPERLINK("https://www.ejacket.nsf.gov/ej/showProposal.do?Continue=Y&amp;ID="&amp;BudgetsTable[[#This Row],[prop_id]],BudgetsTable[[#This Row],[prop_id]]))</f>
        <v/>
      </c>
      <c r="M484" s="15" t="str">
        <f>IF(BudgetsTable[[#This Row],[pi_last_name]]=" ","",HYPERLINK("https://www.ejacket.nsf.gov/ej/processReviewAnalysis.do?dispatch=add&amp;uniqId="&amp;BudgetsTable[[#This Row],[prop_id]]&amp;PO_id,"&gt;ra"))</f>
        <v/>
      </c>
      <c r="N484" s="128" t="s">
        <v>13</v>
      </c>
      <c r="O484" s="7" t="str">
        <f>IF(BudgetsTable[[#This Row],[pi_last_name]]=" ","",HYPERLINK("mailto:"&amp;BudgetsTable[[#This Row],[pi_email]]&amp;"&amp;subject=Your NSF Proposal:  "&amp;BudgetsTable[[#This Row],[prop_id]],BudgetsTable[[#This Row],[pi_email]]))</f>
        <v/>
      </c>
      <c r="P484" s="128" t="s">
        <v>13</v>
      </c>
      <c r="Q484" s="128">
        <v>1</v>
      </c>
      <c r="R484" s="128">
        <v>1</v>
      </c>
      <c r="S484" s="129">
        <v>0</v>
      </c>
      <c r="T484" s="129">
        <v>2500</v>
      </c>
      <c r="U484" s="129">
        <v>0</v>
      </c>
      <c r="V484" s="130">
        <v>103682</v>
      </c>
      <c r="W484" s="128">
        <v>0</v>
      </c>
      <c r="X484" s="128">
        <v>4</v>
      </c>
      <c r="Y484" s="131" t="str">
        <f ca="1">IF(ISBLANK(BudgetsTable[[#This Row],[budg_seq_yr]]),"FY"&amp;fiscalyear,"FY"&amp;fiscalyear-1+BudgetsTable[[#This Row],[budg_seq_yr]])</f>
        <v>FY21</v>
      </c>
      <c r="Z484" s="129">
        <v>103682</v>
      </c>
      <c r="AA484" s="128" t="s">
        <v>741</v>
      </c>
      <c r="AB484" s="128" t="s">
        <v>528</v>
      </c>
      <c r="AC484" s="126" t="s">
        <v>94</v>
      </c>
      <c r="AD484" s="128" t="s">
        <v>744</v>
      </c>
    </row>
    <row r="485" spans="1:30">
      <c r="A485" s="125" t="s">
        <v>1697</v>
      </c>
      <c r="B485" s="126" t="s">
        <v>96</v>
      </c>
      <c r="C485" s="126">
        <f>C484+(BudgetsTable[[#This Row],[lead]]&lt;&gt;K484)</f>
        <v>95</v>
      </c>
      <c r="D485" s="126">
        <f>D484*(BudgetsTable[[#This Row],[lead]]=K484)+(BudgetsTable[[#This Row],[prop_id]]&lt;&gt;A484)</f>
        <v>1</v>
      </c>
      <c r="E485" s="127">
        <v>42935.54583333333</v>
      </c>
      <c r="F485" s="128" t="s">
        <v>242</v>
      </c>
      <c r="G485" s="128" t="s">
        <v>741</v>
      </c>
      <c r="H485" s="128" t="s">
        <v>528</v>
      </c>
      <c r="I485" s="126" t="s">
        <v>1530</v>
      </c>
      <c r="J485" s="126" t="s">
        <v>13</v>
      </c>
      <c r="K485" s="128" t="s">
        <v>1697</v>
      </c>
      <c r="L485" s="7" t="str">
        <f>IF(BudgetsTable[[#This Row],[pi_last_name]]=" ","",HYPERLINK("https://www.ejacket.nsf.gov/ej/showProposal.do?Continue=Y&amp;ID="&amp;BudgetsTable[[#This Row],[prop_id]],BudgetsTable[[#This Row],[prop_id]]))</f>
        <v/>
      </c>
      <c r="M485" s="15" t="str">
        <f>IF(BudgetsTable[[#This Row],[pi_last_name]]=" ","",HYPERLINK("https://www.ejacket.nsf.gov/ej/processReviewAnalysis.do?dispatch=add&amp;uniqId="&amp;BudgetsTable[[#This Row],[prop_id]]&amp;PO_id,"&gt;ra"))</f>
        <v/>
      </c>
      <c r="N485" s="128" t="s">
        <v>13</v>
      </c>
      <c r="O485" s="7" t="str">
        <f>IF(BudgetsTable[[#This Row],[pi_last_name]]=" ","",HYPERLINK("mailto:"&amp;BudgetsTable[[#This Row],[pi_email]]&amp;"&amp;subject=Your NSF Proposal:  "&amp;BudgetsTable[[#This Row],[prop_id]],BudgetsTable[[#This Row],[pi_email]]))</f>
        <v/>
      </c>
      <c r="P485" s="128" t="s">
        <v>13</v>
      </c>
      <c r="Q485" s="128">
        <v>1</v>
      </c>
      <c r="R485" s="128">
        <v>1</v>
      </c>
      <c r="S485" s="129">
        <v>0</v>
      </c>
      <c r="T485" s="129">
        <v>2500</v>
      </c>
      <c r="U485" s="129">
        <v>0</v>
      </c>
      <c r="V485" s="130">
        <v>107348</v>
      </c>
      <c r="W485" s="128">
        <v>0</v>
      </c>
      <c r="X485" s="128">
        <v>5</v>
      </c>
      <c r="Y485" s="131" t="str">
        <f ca="1">IF(ISBLANK(BudgetsTable[[#This Row],[budg_seq_yr]]),"FY"&amp;fiscalyear,"FY"&amp;fiscalyear-1+BudgetsTable[[#This Row],[budg_seq_yr]])</f>
        <v>FY22</v>
      </c>
      <c r="Z485" s="129">
        <v>107348</v>
      </c>
      <c r="AA485" s="128" t="s">
        <v>741</v>
      </c>
      <c r="AB485" s="128" t="s">
        <v>528</v>
      </c>
      <c r="AC485" s="126" t="s">
        <v>94</v>
      </c>
      <c r="AD485" s="128" t="s">
        <v>744</v>
      </c>
    </row>
    <row r="486" spans="1:30">
      <c r="A486" s="125" t="s">
        <v>1705</v>
      </c>
      <c r="B486" s="126" t="s">
        <v>96</v>
      </c>
      <c r="C486" s="126">
        <f>C485+(BudgetsTable[[#This Row],[lead]]&lt;&gt;K485)</f>
        <v>96</v>
      </c>
      <c r="D486" s="126">
        <f>D485*(BudgetsTable[[#This Row],[lead]]=K485)+(BudgetsTable[[#This Row],[prop_id]]&lt;&gt;A485)</f>
        <v>1</v>
      </c>
      <c r="E486" s="127">
        <v>42935.576388888891</v>
      </c>
      <c r="F486" s="128" t="s">
        <v>242</v>
      </c>
      <c r="G486" s="128" t="s">
        <v>741</v>
      </c>
      <c r="H486" s="128" t="s">
        <v>528</v>
      </c>
      <c r="I486" s="126" t="s">
        <v>543</v>
      </c>
      <c r="J486" s="126" t="s">
        <v>2415</v>
      </c>
      <c r="K486" s="128" t="s">
        <v>1705</v>
      </c>
      <c r="L486" s="7" t="str">
        <f>IF(BudgetsTable[[#This Row],[pi_last_name]]=" ","",HYPERLINK("https://www.ejacket.nsf.gov/ej/showProposal.do?Continue=Y&amp;ID="&amp;BudgetsTable[[#This Row],[prop_id]],BudgetsTable[[#This Row],[prop_id]]))</f>
        <v>1750555</v>
      </c>
      <c r="M486" s="15" t="str">
        <f>IF(BudgetsTable[[#This Row],[pi_last_name]]=" ","",HYPERLINK("https://www.ejacket.nsf.gov/ej/processReviewAnalysis.do?dispatch=add&amp;uniqId="&amp;BudgetsTable[[#This Row],[prop_id]]&amp;PO_id,"&gt;ra"))</f>
        <v>&gt;ra</v>
      </c>
      <c r="N486" s="128" t="s">
        <v>1706</v>
      </c>
      <c r="O486" s="7" t="str">
        <f>IF(BudgetsTable[[#This Row],[pi_last_name]]=" ","",HYPERLINK("mailto:"&amp;BudgetsTable[[#This Row],[pi_email]]&amp;"&amp;subject=Your NSF Proposal:  "&amp;BudgetsTable[[#This Row],[prop_id]],BudgetsTable[[#This Row],[pi_email]]))</f>
        <v xml:space="preserve"> hardt@eecs.berkeley.edu</v>
      </c>
      <c r="P486" s="128" t="s">
        <v>2325</v>
      </c>
      <c r="Q486" s="128"/>
      <c r="R486" s="128"/>
      <c r="S486" s="129"/>
      <c r="T486" s="129"/>
      <c r="U486" s="129"/>
      <c r="V486" s="130"/>
      <c r="W486" s="128">
        <v>0</v>
      </c>
      <c r="X486" s="128"/>
      <c r="Y486" s="131" t="str">
        <f ca="1">IF(ISBLANK(BudgetsTable[[#This Row],[budg_seq_yr]]),"FY"&amp;fiscalyear,"FY"&amp;fiscalyear-1+BudgetsTable[[#This Row],[budg_seq_yr]])</f>
        <v>FY18</v>
      </c>
      <c r="Z486" s="129">
        <v>499434</v>
      </c>
      <c r="AA486" s="128" t="s">
        <v>741</v>
      </c>
      <c r="AB486" s="128" t="s">
        <v>528</v>
      </c>
      <c r="AC486" s="126" t="s">
        <v>94</v>
      </c>
      <c r="AD486" s="128" t="s">
        <v>744</v>
      </c>
    </row>
    <row r="487" spans="1:30">
      <c r="A487" s="125" t="s">
        <v>1705</v>
      </c>
      <c r="B487" s="126" t="s">
        <v>96</v>
      </c>
      <c r="C487" s="126">
        <f>C486+(BudgetsTable[[#This Row],[lead]]&lt;&gt;K486)</f>
        <v>96</v>
      </c>
      <c r="D487" s="126">
        <f>D486*(BudgetsTable[[#This Row],[lead]]=K486)+(BudgetsTable[[#This Row],[prop_id]]&lt;&gt;A486)</f>
        <v>1</v>
      </c>
      <c r="E487" s="127">
        <v>42935.576388888891</v>
      </c>
      <c r="F487" s="128" t="s">
        <v>242</v>
      </c>
      <c r="G487" s="128" t="s">
        <v>741</v>
      </c>
      <c r="H487" s="128" t="s">
        <v>528</v>
      </c>
      <c r="I487" s="126" t="s">
        <v>543</v>
      </c>
      <c r="J487" s="126" t="s">
        <v>13</v>
      </c>
      <c r="K487" s="128" t="s">
        <v>1705</v>
      </c>
      <c r="L487" s="7" t="str">
        <f>IF(BudgetsTable[[#This Row],[pi_last_name]]=" ","",HYPERLINK("https://www.ejacket.nsf.gov/ej/showProposal.do?Continue=Y&amp;ID="&amp;BudgetsTable[[#This Row],[prop_id]],BudgetsTable[[#This Row],[prop_id]]))</f>
        <v/>
      </c>
      <c r="M487" s="15" t="str">
        <f>IF(BudgetsTable[[#This Row],[pi_last_name]]=" ","",HYPERLINK("https://www.ejacket.nsf.gov/ej/processReviewAnalysis.do?dispatch=add&amp;uniqId="&amp;BudgetsTable[[#This Row],[prop_id]]&amp;PO_id,"&gt;ra"))</f>
        <v/>
      </c>
      <c r="N487" s="128" t="s">
        <v>13</v>
      </c>
      <c r="O487" s="7" t="str">
        <f>IF(BudgetsTable[[#This Row],[pi_last_name]]=" ","",HYPERLINK("mailto:"&amp;BudgetsTable[[#This Row],[pi_email]]&amp;"&amp;subject=Your NSF Proposal:  "&amp;BudgetsTable[[#This Row],[prop_id]],BudgetsTable[[#This Row],[pi_email]]))</f>
        <v/>
      </c>
      <c r="P487" s="128" t="s">
        <v>13</v>
      </c>
      <c r="Q487" s="128">
        <v>1</v>
      </c>
      <c r="R487" s="128">
        <v>0.2</v>
      </c>
      <c r="S487" s="129">
        <v>0</v>
      </c>
      <c r="T487" s="129">
        <v>0</v>
      </c>
      <c r="U487" s="129">
        <v>0</v>
      </c>
      <c r="V487" s="130">
        <v>90466</v>
      </c>
      <c r="W487" s="128">
        <v>0</v>
      </c>
      <c r="X487" s="128">
        <v>1</v>
      </c>
      <c r="Y487" s="131" t="str">
        <f ca="1">IF(ISBLANK(BudgetsTable[[#This Row],[budg_seq_yr]]),"FY"&amp;fiscalyear,"FY"&amp;fiscalyear-1+BudgetsTable[[#This Row],[budg_seq_yr]])</f>
        <v>FY18</v>
      </c>
      <c r="Z487" s="129">
        <v>90466</v>
      </c>
      <c r="AA487" s="128" t="s">
        <v>741</v>
      </c>
      <c r="AB487" s="128" t="s">
        <v>528</v>
      </c>
      <c r="AC487" s="126" t="s">
        <v>94</v>
      </c>
      <c r="AD487" s="128" t="s">
        <v>744</v>
      </c>
    </row>
    <row r="488" spans="1:30">
      <c r="A488" s="125" t="s">
        <v>1705</v>
      </c>
      <c r="B488" s="126" t="s">
        <v>96</v>
      </c>
      <c r="C488" s="126">
        <f>C487+(BudgetsTable[[#This Row],[lead]]&lt;&gt;K487)</f>
        <v>96</v>
      </c>
      <c r="D488" s="126">
        <f>D487*(BudgetsTable[[#This Row],[lead]]=K487)+(BudgetsTable[[#This Row],[prop_id]]&lt;&gt;A487)</f>
        <v>1</v>
      </c>
      <c r="E488" s="127">
        <v>42935.576388888891</v>
      </c>
      <c r="F488" s="128" t="s">
        <v>242</v>
      </c>
      <c r="G488" s="128" t="s">
        <v>741</v>
      </c>
      <c r="H488" s="128" t="s">
        <v>528</v>
      </c>
      <c r="I488" s="126" t="s">
        <v>543</v>
      </c>
      <c r="J488" s="126" t="s">
        <v>13</v>
      </c>
      <c r="K488" s="128" t="s">
        <v>1705</v>
      </c>
      <c r="L488" s="7" t="str">
        <f>IF(BudgetsTable[[#This Row],[pi_last_name]]=" ","",HYPERLINK("https://www.ejacket.nsf.gov/ej/showProposal.do?Continue=Y&amp;ID="&amp;BudgetsTable[[#This Row],[prop_id]],BudgetsTable[[#This Row],[prop_id]]))</f>
        <v/>
      </c>
      <c r="M488" s="15" t="str">
        <f>IF(BudgetsTable[[#This Row],[pi_last_name]]=" ","",HYPERLINK("https://www.ejacket.nsf.gov/ej/processReviewAnalysis.do?dispatch=add&amp;uniqId="&amp;BudgetsTable[[#This Row],[prop_id]]&amp;PO_id,"&gt;ra"))</f>
        <v/>
      </c>
      <c r="N488" s="128" t="s">
        <v>13</v>
      </c>
      <c r="O488" s="7" t="str">
        <f>IF(BudgetsTable[[#This Row],[pi_last_name]]=" ","",HYPERLINK("mailto:"&amp;BudgetsTable[[#This Row],[pi_email]]&amp;"&amp;subject=Your NSF Proposal:  "&amp;BudgetsTable[[#This Row],[prop_id]],BudgetsTable[[#This Row],[pi_email]]))</f>
        <v/>
      </c>
      <c r="P488" s="128" t="s">
        <v>13</v>
      </c>
      <c r="Q488" s="128">
        <v>1</v>
      </c>
      <c r="R488" s="128">
        <v>0.2</v>
      </c>
      <c r="S488" s="129">
        <v>0</v>
      </c>
      <c r="T488" s="129">
        <v>0</v>
      </c>
      <c r="U488" s="129">
        <v>0</v>
      </c>
      <c r="V488" s="130">
        <v>95197</v>
      </c>
      <c r="W488" s="128">
        <v>0</v>
      </c>
      <c r="X488" s="128">
        <v>2</v>
      </c>
      <c r="Y488" s="131" t="str">
        <f ca="1">IF(ISBLANK(BudgetsTable[[#This Row],[budg_seq_yr]]),"FY"&amp;fiscalyear,"FY"&amp;fiscalyear-1+BudgetsTable[[#This Row],[budg_seq_yr]])</f>
        <v>FY19</v>
      </c>
      <c r="Z488" s="129">
        <v>95197</v>
      </c>
      <c r="AA488" s="128" t="s">
        <v>741</v>
      </c>
      <c r="AB488" s="128" t="s">
        <v>528</v>
      </c>
      <c r="AC488" s="126" t="s">
        <v>94</v>
      </c>
      <c r="AD488" s="128" t="s">
        <v>744</v>
      </c>
    </row>
    <row r="489" spans="1:30">
      <c r="A489" s="125" t="s">
        <v>1705</v>
      </c>
      <c r="B489" s="126" t="s">
        <v>96</v>
      </c>
      <c r="C489" s="126">
        <f>C488+(BudgetsTable[[#This Row],[lead]]&lt;&gt;K488)</f>
        <v>96</v>
      </c>
      <c r="D489" s="126">
        <f>D488*(BudgetsTable[[#This Row],[lead]]=K488)+(BudgetsTable[[#This Row],[prop_id]]&lt;&gt;A488)</f>
        <v>1</v>
      </c>
      <c r="E489" s="127">
        <v>42935.576388888891</v>
      </c>
      <c r="F489" s="128" t="s">
        <v>242</v>
      </c>
      <c r="G489" s="128" t="s">
        <v>741</v>
      </c>
      <c r="H489" s="128" t="s">
        <v>528</v>
      </c>
      <c r="I489" s="126" t="s">
        <v>543</v>
      </c>
      <c r="J489" s="126" t="s">
        <v>13</v>
      </c>
      <c r="K489" s="128" t="s">
        <v>1705</v>
      </c>
      <c r="L489" s="7" t="str">
        <f>IF(BudgetsTable[[#This Row],[pi_last_name]]=" ","",HYPERLINK("https://www.ejacket.nsf.gov/ej/showProposal.do?Continue=Y&amp;ID="&amp;BudgetsTable[[#This Row],[prop_id]],BudgetsTable[[#This Row],[prop_id]]))</f>
        <v/>
      </c>
      <c r="M489" s="15" t="str">
        <f>IF(BudgetsTable[[#This Row],[pi_last_name]]=" ","",HYPERLINK("https://www.ejacket.nsf.gov/ej/processReviewAnalysis.do?dispatch=add&amp;uniqId="&amp;BudgetsTable[[#This Row],[prop_id]]&amp;PO_id,"&gt;ra"))</f>
        <v/>
      </c>
      <c r="N489" s="128" t="s">
        <v>13</v>
      </c>
      <c r="O489" s="7" t="str">
        <f>IF(BudgetsTable[[#This Row],[pi_last_name]]=" ","",HYPERLINK("mailto:"&amp;BudgetsTable[[#This Row],[pi_email]]&amp;"&amp;subject=Your NSF Proposal:  "&amp;BudgetsTable[[#This Row],[prop_id]],BudgetsTable[[#This Row],[pi_email]]))</f>
        <v/>
      </c>
      <c r="P489" s="128" t="s">
        <v>13</v>
      </c>
      <c r="Q489" s="128">
        <v>1</v>
      </c>
      <c r="R489" s="128">
        <v>0.2</v>
      </c>
      <c r="S489" s="129">
        <v>0</v>
      </c>
      <c r="T489" s="129">
        <v>0</v>
      </c>
      <c r="U489" s="129">
        <v>0</v>
      </c>
      <c r="V489" s="130">
        <v>100235</v>
      </c>
      <c r="W489" s="128">
        <v>0</v>
      </c>
      <c r="X489" s="128">
        <v>3</v>
      </c>
      <c r="Y489" s="131" t="str">
        <f ca="1">IF(ISBLANK(BudgetsTable[[#This Row],[budg_seq_yr]]),"FY"&amp;fiscalyear,"FY"&amp;fiscalyear-1+BudgetsTable[[#This Row],[budg_seq_yr]])</f>
        <v>FY20</v>
      </c>
      <c r="Z489" s="129">
        <v>100235</v>
      </c>
      <c r="AA489" s="128" t="s">
        <v>741</v>
      </c>
      <c r="AB489" s="128" t="s">
        <v>528</v>
      </c>
      <c r="AC489" s="126" t="s">
        <v>94</v>
      </c>
      <c r="AD489" s="128" t="s">
        <v>744</v>
      </c>
    </row>
    <row r="490" spans="1:30">
      <c r="A490" s="125" t="s">
        <v>1705</v>
      </c>
      <c r="B490" s="126" t="s">
        <v>96</v>
      </c>
      <c r="C490" s="126">
        <f>C489+(BudgetsTable[[#This Row],[lead]]&lt;&gt;K489)</f>
        <v>96</v>
      </c>
      <c r="D490" s="126">
        <f>D489*(BudgetsTable[[#This Row],[lead]]=K489)+(BudgetsTable[[#This Row],[prop_id]]&lt;&gt;A489)</f>
        <v>1</v>
      </c>
      <c r="E490" s="127">
        <v>42935.576388888891</v>
      </c>
      <c r="F490" s="128" t="s">
        <v>242</v>
      </c>
      <c r="G490" s="128" t="s">
        <v>741</v>
      </c>
      <c r="H490" s="128" t="s">
        <v>528</v>
      </c>
      <c r="I490" s="126" t="s">
        <v>543</v>
      </c>
      <c r="J490" s="126" t="s">
        <v>13</v>
      </c>
      <c r="K490" s="128" t="s">
        <v>1705</v>
      </c>
      <c r="L490" s="7" t="str">
        <f>IF(BudgetsTable[[#This Row],[pi_last_name]]=" ","",HYPERLINK("https://www.ejacket.nsf.gov/ej/showProposal.do?Continue=Y&amp;ID="&amp;BudgetsTable[[#This Row],[prop_id]],BudgetsTable[[#This Row],[prop_id]]))</f>
        <v/>
      </c>
      <c r="M490" s="15" t="str">
        <f>IF(BudgetsTable[[#This Row],[pi_last_name]]=" ","",HYPERLINK("https://www.ejacket.nsf.gov/ej/processReviewAnalysis.do?dispatch=add&amp;uniqId="&amp;BudgetsTable[[#This Row],[prop_id]]&amp;PO_id,"&gt;ra"))</f>
        <v/>
      </c>
      <c r="N490" s="128" t="s">
        <v>13</v>
      </c>
      <c r="O490" s="7" t="str">
        <f>IF(BudgetsTable[[#This Row],[pi_last_name]]=" ","",HYPERLINK("mailto:"&amp;BudgetsTable[[#This Row],[pi_email]]&amp;"&amp;subject=Your NSF Proposal:  "&amp;BudgetsTable[[#This Row],[prop_id]],BudgetsTable[[#This Row],[pi_email]]))</f>
        <v/>
      </c>
      <c r="P490" s="128" t="s">
        <v>13</v>
      </c>
      <c r="Q490" s="128">
        <v>1</v>
      </c>
      <c r="R490" s="128">
        <v>0.1</v>
      </c>
      <c r="S490" s="129">
        <v>0</v>
      </c>
      <c r="T490" s="129">
        <v>0</v>
      </c>
      <c r="U490" s="129">
        <v>0</v>
      </c>
      <c r="V490" s="130">
        <v>102811</v>
      </c>
      <c r="W490" s="128">
        <v>0</v>
      </c>
      <c r="X490" s="128">
        <v>4</v>
      </c>
      <c r="Y490" s="131" t="str">
        <f ca="1">IF(ISBLANK(BudgetsTable[[#This Row],[budg_seq_yr]]),"FY"&amp;fiscalyear,"FY"&amp;fiscalyear-1+BudgetsTable[[#This Row],[budg_seq_yr]])</f>
        <v>FY21</v>
      </c>
      <c r="Z490" s="129">
        <v>102811</v>
      </c>
      <c r="AA490" s="128" t="s">
        <v>741</v>
      </c>
      <c r="AB490" s="128" t="s">
        <v>528</v>
      </c>
      <c r="AC490" s="126" t="s">
        <v>94</v>
      </c>
      <c r="AD490" s="128" t="s">
        <v>744</v>
      </c>
    </row>
    <row r="491" spans="1:30">
      <c r="A491" s="125" t="s">
        <v>1705</v>
      </c>
      <c r="B491" s="126" t="s">
        <v>96</v>
      </c>
      <c r="C491" s="126">
        <f>C490+(BudgetsTable[[#This Row],[lead]]&lt;&gt;K490)</f>
        <v>96</v>
      </c>
      <c r="D491" s="126">
        <f>D490*(BudgetsTable[[#This Row],[lead]]=K490)+(BudgetsTable[[#This Row],[prop_id]]&lt;&gt;A490)</f>
        <v>1</v>
      </c>
      <c r="E491" s="127">
        <v>42935.576388888891</v>
      </c>
      <c r="F491" s="128" t="s">
        <v>242</v>
      </c>
      <c r="G491" s="128" t="s">
        <v>741</v>
      </c>
      <c r="H491" s="128" t="s">
        <v>528</v>
      </c>
      <c r="I491" s="126" t="s">
        <v>543</v>
      </c>
      <c r="J491" s="126" t="s">
        <v>13</v>
      </c>
      <c r="K491" s="128" t="s">
        <v>1705</v>
      </c>
      <c r="L491" s="7" t="str">
        <f>IF(BudgetsTable[[#This Row],[pi_last_name]]=" ","",HYPERLINK("https://www.ejacket.nsf.gov/ej/showProposal.do?Continue=Y&amp;ID="&amp;BudgetsTable[[#This Row],[prop_id]],BudgetsTable[[#This Row],[prop_id]]))</f>
        <v/>
      </c>
      <c r="M491" s="15" t="str">
        <f>IF(BudgetsTable[[#This Row],[pi_last_name]]=" ","",HYPERLINK("https://www.ejacket.nsf.gov/ej/processReviewAnalysis.do?dispatch=add&amp;uniqId="&amp;BudgetsTable[[#This Row],[prop_id]]&amp;PO_id,"&gt;ra"))</f>
        <v/>
      </c>
      <c r="N491" s="128" t="s">
        <v>13</v>
      </c>
      <c r="O491" s="7" t="str">
        <f>IF(BudgetsTable[[#This Row],[pi_last_name]]=" ","",HYPERLINK("mailto:"&amp;BudgetsTable[[#This Row],[pi_email]]&amp;"&amp;subject=Your NSF Proposal:  "&amp;BudgetsTable[[#This Row],[prop_id]],BudgetsTable[[#This Row],[pi_email]]))</f>
        <v/>
      </c>
      <c r="P491" s="128" t="s">
        <v>13</v>
      </c>
      <c r="Q491" s="128">
        <v>1</v>
      </c>
      <c r="R491" s="128">
        <v>0.1</v>
      </c>
      <c r="S491" s="129">
        <v>0</v>
      </c>
      <c r="T491" s="129">
        <v>0</v>
      </c>
      <c r="U491" s="129">
        <v>0</v>
      </c>
      <c r="V491" s="130">
        <v>110725</v>
      </c>
      <c r="W491" s="128">
        <v>0</v>
      </c>
      <c r="X491" s="128">
        <v>5</v>
      </c>
      <c r="Y491" s="131" t="str">
        <f ca="1">IF(ISBLANK(BudgetsTable[[#This Row],[budg_seq_yr]]),"FY"&amp;fiscalyear,"FY"&amp;fiscalyear-1+BudgetsTable[[#This Row],[budg_seq_yr]])</f>
        <v>FY22</v>
      </c>
      <c r="Z491" s="129">
        <v>110725</v>
      </c>
      <c r="AA491" s="128" t="s">
        <v>741</v>
      </c>
      <c r="AB491" s="128" t="s">
        <v>528</v>
      </c>
      <c r="AC491" s="126" t="s">
        <v>94</v>
      </c>
      <c r="AD491" s="128" t="s">
        <v>744</v>
      </c>
    </row>
    <row r="492" spans="1:30">
      <c r="A492" s="125" t="s">
        <v>1713</v>
      </c>
      <c r="B492" s="126" t="s">
        <v>96</v>
      </c>
      <c r="C492" s="126">
        <f>C491+(BudgetsTable[[#This Row],[lead]]&lt;&gt;K491)</f>
        <v>97</v>
      </c>
      <c r="D492" s="126">
        <f>D491*(BudgetsTable[[#This Row],[lead]]=K491)+(BudgetsTable[[#This Row],[prop_id]]&lt;&gt;A491)</f>
        <v>1</v>
      </c>
      <c r="E492" s="127">
        <v>42935.599305555559</v>
      </c>
      <c r="F492" s="128" t="s">
        <v>242</v>
      </c>
      <c r="G492" s="128" t="s">
        <v>741</v>
      </c>
      <c r="H492" s="128" t="s">
        <v>528</v>
      </c>
      <c r="I492" s="126" t="s">
        <v>543</v>
      </c>
      <c r="J492" s="126" t="s">
        <v>2420</v>
      </c>
      <c r="K492" s="128" t="s">
        <v>1713</v>
      </c>
      <c r="L492" s="7" t="str">
        <f>IF(BudgetsTable[[#This Row],[pi_last_name]]=" ","",HYPERLINK("https://www.ejacket.nsf.gov/ej/showProposal.do?Continue=Y&amp;ID="&amp;BudgetsTable[[#This Row],[prop_id]],BudgetsTable[[#This Row],[prop_id]]))</f>
        <v>1750640</v>
      </c>
      <c r="M492" s="15" t="str">
        <f>IF(BudgetsTable[[#This Row],[pi_last_name]]=" ","",HYPERLINK("https://www.ejacket.nsf.gov/ej/processReviewAnalysis.do?dispatch=add&amp;uniqId="&amp;BudgetsTable[[#This Row],[prop_id]]&amp;PO_id,"&gt;ra"))</f>
        <v>&gt;ra</v>
      </c>
      <c r="N492" s="128" t="s">
        <v>1714</v>
      </c>
      <c r="O492" s="7" t="str">
        <f>IF(BudgetsTable[[#This Row],[pi_last_name]]=" ","",HYPERLINK("mailto:"&amp;BudgetsTable[[#This Row],[pi_email]]&amp;"&amp;subject=Your NSF Proposal:  "&amp;BudgetsTable[[#This Row],[prop_id]],BudgetsTable[[#This Row],[pi_email]]))</f>
        <v>jullman@ccs.neu.edu</v>
      </c>
      <c r="P492" s="128" t="s">
        <v>2417</v>
      </c>
      <c r="Q492" s="128"/>
      <c r="R492" s="128"/>
      <c r="S492" s="129"/>
      <c r="T492" s="129"/>
      <c r="U492" s="129"/>
      <c r="V492" s="130"/>
      <c r="W492" s="128">
        <v>0</v>
      </c>
      <c r="X492" s="128"/>
      <c r="Y492" s="131" t="str">
        <f ca="1">IF(ISBLANK(BudgetsTable[[#This Row],[budg_seq_yr]]),"FY"&amp;fiscalyear,"FY"&amp;fiscalyear-1+BudgetsTable[[#This Row],[budg_seq_yr]])</f>
        <v>FY18</v>
      </c>
      <c r="Z492" s="129">
        <v>545883</v>
      </c>
      <c r="AA492" s="128" t="s">
        <v>741</v>
      </c>
      <c r="AB492" s="128" t="s">
        <v>528</v>
      </c>
      <c r="AC492" s="126" t="s">
        <v>94</v>
      </c>
      <c r="AD492" s="128" t="s">
        <v>744</v>
      </c>
    </row>
    <row r="493" spans="1:30">
      <c r="A493" s="125" t="s">
        <v>1713</v>
      </c>
      <c r="B493" s="126" t="s">
        <v>96</v>
      </c>
      <c r="C493" s="126">
        <f>C492+(BudgetsTable[[#This Row],[lead]]&lt;&gt;K492)</f>
        <v>97</v>
      </c>
      <c r="D493" s="126">
        <f>D492*(BudgetsTable[[#This Row],[lead]]=K492)+(BudgetsTable[[#This Row],[prop_id]]&lt;&gt;A492)</f>
        <v>1</v>
      </c>
      <c r="E493" s="127">
        <v>42935.599305555559</v>
      </c>
      <c r="F493" s="128" t="s">
        <v>242</v>
      </c>
      <c r="G493" s="128" t="s">
        <v>741</v>
      </c>
      <c r="H493" s="128" t="s">
        <v>528</v>
      </c>
      <c r="I493" s="126" t="s">
        <v>543</v>
      </c>
      <c r="J493" s="126" t="s">
        <v>13</v>
      </c>
      <c r="K493" s="128" t="s">
        <v>1713</v>
      </c>
      <c r="L493" s="7" t="str">
        <f>IF(BudgetsTable[[#This Row],[pi_last_name]]=" ","",HYPERLINK("https://www.ejacket.nsf.gov/ej/showProposal.do?Continue=Y&amp;ID="&amp;BudgetsTable[[#This Row],[prop_id]],BudgetsTable[[#This Row],[prop_id]]))</f>
        <v/>
      </c>
      <c r="M493" s="15" t="str">
        <f>IF(BudgetsTable[[#This Row],[pi_last_name]]=" ","",HYPERLINK("https://www.ejacket.nsf.gov/ej/processReviewAnalysis.do?dispatch=add&amp;uniqId="&amp;BudgetsTable[[#This Row],[prop_id]]&amp;PO_id,"&gt;ra"))</f>
        <v/>
      </c>
      <c r="N493" s="128" t="s">
        <v>13</v>
      </c>
      <c r="O493" s="7" t="str">
        <f>IF(BudgetsTable[[#This Row],[pi_last_name]]=" ","",HYPERLINK("mailto:"&amp;BudgetsTable[[#This Row],[pi_email]]&amp;"&amp;subject=Your NSF Proposal:  "&amp;BudgetsTable[[#This Row],[prop_id]],BudgetsTable[[#This Row],[pi_email]]))</f>
        <v/>
      </c>
      <c r="P493" s="128" t="s">
        <v>13</v>
      </c>
      <c r="Q493" s="128">
        <v>1</v>
      </c>
      <c r="R493" s="128">
        <v>1</v>
      </c>
      <c r="S493" s="129">
        <v>0</v>
      </c>
      <c r="T493" s="129">
        <v>3000</v>
      </c>
      <c r="U493" s="129">
        <v>0</v>
      </c>
      <c r="V493" s="130">
        <v>102820</v>
      </c>
      <c r="W493" s="128">
        <v>0</v>
      </c>
      <c r="X493" s="128">
        <v>1</v>
      </c>
      <c r="Y493" s="131" t="str">
        <f ca="1">IF(ISBLANK(BudgetsTable[[#This Row],[budg_seq_yr]]),"FY"&amp;fiscalyear,"FY"&amp;fiscalyear-1+BudgetsTable[[#This Row],[budg_seq_yr]])</f>
        <v>FY18</v>
      </c>
      <c r="Z493" s="129">
        <v>102820</v>
      </c>
      <c r="AA493" s="128" t="s">
        <v>741</v>
      </c>
      <c r="AB493" s="128" t="s">
        <v>528</v>
      </c>
      <c r="AC493" s="126" t="s">
        <v>94</v>
      </c>
      <c r="AD493" s="128" t="s">
        <v>744</v>
      </c>
    </row>
    <row r="494" spans="1:30">
      <c r="A494" s="125" t="s">
        <v>1713</v>
      </c>
      <c r="B494" s="126" t="s">
        <v>96</v>
      </c>
      <c r="C494" s="126">
        <f>C493+(BudgetsTable[[#This Row],[lead]]&lt;&gt;K493)</f>
        <v>97</v>
      </c>
      <c r="D494" s="126">
        <f>D493*(BudgetsTable[[#This Row],[lead]]=K493)+(BudgetsTable[[#This Row],[prop_id]]&lt;&gt;A493)</f>
        <v>1</v>
      </c>
      <c r="E494" s="127">
        <v>42935.599305555559</v>
      </c>
      <c r="F494" s="128" t="s">
        <v>242</v>
      </c>
      <c r="G494" s="128" t="s">
        <v>741</v>
      </c>
      <c r="H494" s="128" t="s">
        <v>528</v>
      </c>
      <c r="I494" s="126" t="s">
        <v>543</v>
      </c>
      <c r="J494" s="126" t="s">
        <v>13</v>
      </c>
      <c r="K494" s="128" t="s">
        <v>1713</v>
      </c>
      <c r="L494" s="7" t="str">
        <f>IF(BudgetsTable[[#This Row],[pi_last_name]]=" ","",HYPERLINK("https://www.ejacket.nsf.gov/ej/showProposal.do?Continue=Y&amp;ID="&amp;BudgetsTable[[#This Row],[prop_id]],BudgetsTable[[#This Row],[prop_id]]))</f>
        <v/>
      </c>
      <c r="M494" s="15" t="str">
        <f>IF(BudgetsTable[[#This Row],[pi_last_name]]=" ","",HYPERLINK("https://www.ejacket.nsf.gov/ej/processReviewAnalysis.do?dispatch=add&amp;uniqId="&amp;BudgetsTable[[#This Row],[prop_id]]&amp;PO_id,"&gt;ra"))</f>
        <v/>
      </c>
      <c r="N494" s="128" t="s">
        <v>13</v>
      </c>
      <c r="O494" s="7" t="str">
        <f>IF(BudgetsTable[[#This Row],[pi_last_name]]=" ","",HYPERLINK("mailto:"&amp;BudgetsTable[[#This Row],[pi_email]]&amp;"&amp;subject=Your NSF Proposal:  "&amp;BudgetsTable[[#This Row],[prop_id]],BudgetsTable[[#This Row],[pi_email]]))</f>
        <v/>
      </c>
      <c r="P494" s="128" t="s">
        <v>13</v>
      </c>
      <c r="Q494" s="128">
        <v>1</v>
      </c>
      <c r="R494" s="128">
        <v>1</v>
      </c>
      <c r="S494" s="129">
        <v>0</v>
      </c>
      <c r="T494" s="129">
        <v>3090</v>
      </c>
      <c r="U494" s="129">
        <v>0</v>
      </c>
      <c r="V494" s="130">
        <v>105903</v>
      </c>
      <c r="W494" s="128">
        <v>0</v>
      </c>
      <c r="X494" s="128">
        <v>2</v>
      </c>
      <c r="Y494" s="131" t="str">
        <f ca="1">IF(ISBLANK(BudgetsTable[[#This Row],[budg_seq_yr]]),"FY"&amp;fiscalyear,"FY"&amp;fiscalyear-1+BudgetsTable[[#This Row],[budg_seq_yr]])</f>
        <v>FY19</v>
      </c>
      <c r="Z494" s="129">
        <v>105903</v>
      </c>
      <c r="AA494" s="128" t="s">
        <v>741</v>
      </c>
      <c r="AB494" s="128" t="s">
        <v>528</v>
      </c>
      <c r="AC494" s="126" t="s">
        <v>94</v>
      </c>
      <c r="AD494" s="128" t="s">
        <v>744</v>
      </c>
    </row>
    <row r="495" spans="1:30">
      <c r="A495" s="125" t="s">
        <v>1713</v>
      </c>
      <c r="B495" s="126" t="s">
        <v>96</v>
      </c>
      <c r="C495" s="126">
        <f>C494+(BudgetsTable[[#This Row],[lead]]&lt;&gt;K494)</f>
        <v>97</v>
      </c>
      <c r="D495" s="126">
        <f>D494*(BudgetsTable[[#This Row],[lead]]=K494)+(BudgetsTable[[#This Row],[prop_id]]&lt;&gt;A494)</f>
        <v>1</v>
      </c>
      <c r="E495" s="127">
        <v>42935.599305555559</v>
      </c>
      <c r="F495" s="128" t="s">
        <v>242</v>
      </c>
      <c r="G495" s="128" t="s">
        <v>741</v>
      </c>
      <c r="H495" s="128" t="s">
        <v>528</v>
      </c>
      <c r="I495" s="126" t="s">
        <v>543</v>
      </c>
      <c r="J495" s="126" t="s">
        <v>13</v>
      </c>
      <c r="K495" s="128" t="s">
        <v>1713</v>
      </c>
      <c r="L495" s="7" t="str">
        <f>IF(BudgetsTable[[#This Row],[pi_last_name]]=" ","",HYPERLINK("https://www.ejacket.nsf.gov/ej/showProposal.do?Continue=Y&amp;ID="&amp;BudgetsTable[[#This Row],[prop_id]],BudgetsTable[[#This Row],[prop_id]]))</f>
        <v/>
      </c>
      <c r="M495" s="15" t="str">
        <f>IF(BudgetsTable[[#This Row],[pi_last_name]]=" ","",HYPERLINK("https://www.ejacket.nsf.gov/ej/processReviewAnalysis.do?dispatch=add&amp;uniqId="&amp;BudgetsTable[[#This Row],[prop_id]]&amp;PO_id,"&gt;ra"))</f>
        <v/>
      </c>
      <c r="N495" s="128" t="s">
        <v>13</v>
      </c>
      <c r="O495" s="7" t="str">
        <f>IF(BudgetsTable[[#This Row],[pi_last_name]]=" ","",HYPERLINK("mailto:"&amp;BudgetsTable[[#This Row],[pi_email]]&amp;"&amp;subject=Your NSF Proposal:  "&amp;BudgetsTable[[#This Row],[prop_id]],BudgetsTable[[#This Row],[pi_email]]))</f>
        <v/>
      </c>
      <c r="P495" s="128" t="s">
        <v>13</v>
      </c>
      <c r="Q495" s="128">
        <v>1</v>
      </c>
      <c r="R495" s="128">
        <v>1</v>
      </c>
      <c r="S495" s="129">
        <v>0</v>
      </c>
      <c r="T495" s="129">
        <v>3183</v>
      </c>
      <c r="U495" s="129">
        <v>0</v>
      </c>
      <c r="V495" s="130">
        <v>109082</v>
      </c>
      <c r="W495" s="128">
        <v>0</v>
      </c>
      <c r="X495" s="128">
        <v>3</v>
      </c>
      <c r="Y495" s="131" t="str">
        <f ca="1">IF(ISBLANK(BudgetsTable[[#This Row],[budg_seq_yr]]),"FY"&amp;fiscalyear,"FY"&amp;fiscalyear-1+BudgetsTable[[#This Row],[budg_seq_yr]])</f>
        <v>FY20</v>
      </c>
      <c r="Z495" s="129">
        <v>109082</v>
      </c>
      <c r="AA495" s="128" t="s">
        <v>741</v>
      </c>
      <c r="AB495" s="128" t="s">
        <v>528</v>
      </c>
      <c r="AC495" s="126" t="s">
        <v>94</v>
      </c>
      <c r="AD495" s="128" t="s">
        <v>744</v>
      </c>
    </row>
    <row r="496" spans="1:30">
      <c r="A496" s="125" t="s">
        <v>1713</v>
      </c>
      <c r="B496" s="126" t="s">
        <v>96</v>
      </c>
      <c r="C496" s="126">
        <f>C495+(BudgetsTable[[#This Row],[lead]]&lt;&gt;K495)</f>
        <v>97</v>
      </c>
      <c r="D496" s="126">
        <f>D495*(BudgetsTable[[#This Row],[lead]]=K495)+(BudgetsTable[[#This Row],[prop_id]]&lt;&gt;A495)</f>
        <v>1</v>
      </c>
      <c r="E496" s="127">
        <v>42935.599305555559</v>
      </c>
      <c r="F496" s="128" t="s">
        <v>242</v>
      </c>
      <c r="G496" s="128" t="s">
        <v>741</v>
      </c>
      <c r="H496" s="128" t="s">
        <v>528</v>
      </c>
      <c r="I496" s="126" t="s">
        <v>543</v>
      </c>
      <c r="J496" s="126" t="s">
        <v>13</v>
      </c>
      <c r="K496" s="128" t="s">
        <v>1713</v>
      </c>
      <c r="L496" s="7" t="str">
        <f>IF(BudgetsTable[[#This Row],[pi_last_name]]=" ","",HYPERLINK("https://www.ejacket.nsf.gov/ej/showProposal.do?Continue=Y&amp;ID="&amp;BudgetsTable[[#This Row],[prop_id]],BudgetsTable[[#This Row],[prop_id]]))</f>
        <v/>
      </c>
      <c r="M496" s="15" t="str">
        <f>IF(BudgetsTable[[#This Row],[pi_last_name]]=" ","",HYPERLINK("https://www.ejacket.nsf.gov/ej/processReviewAnalysis.do?dispatch=add&amp;uniqId="&amp;BudgetsTable[[#This Row],[prop_id]]&amp;PO_id,"&gt;ra"))</f>
        <v/>
      </c>
      <c r="N496" s="128" t="s">
        <v>13</v>
      </c>
      <c r="O496" s="7" t="str">
        <f>IF(BudgetsTable[[#This Row],[pi_last_name]]=" ","",HYPERLINK("mailto:"&amp;BudgetsTable[[#This Row],[pi_email]]&amp;"&amp;subject=Your NSF Proposal:  "&amp;BudgetsTable[[#This Row],[prop_id]],BudgetsTable[[#This Row],[pi_email]]))</f>
        <v/>
      </c>
      <c r="P496" s="128" t="s">
        <v>13</v>
      </c>
      <c r="Q496" s="128">
        <v>1</v>
      </c>
      <c r="R496" s="128">
        <v>1</v>
      </c>
      <c r="S496" s="129">
        <v>0</v>
      </c>
      <c r="T496" s="129">
        <v>3278</v>
      </c>
      <c r="U496" s="129">
        <v>0</v>
      </c>
      <c r="V496" s="130">
        <v>112353</v>
      </c>
      <c r="W496" s="128">
        <v>0</v>
      </c>
      <c r="X496" s="128">
        <v>4</v>
      </c>
      <c r="Y496" s="131" t="str">
        <f ca="1">IF(ISBLANK(BudgetsTable[[#This Row],[budg_seq_yr]]),"FY"&amp;fiscalyear,"FY"&amp;fiscalyear-1+BudgetsTable[[#This Row],[budg_seq_yr]])</f>
        <v>FY21</v>
      </c>
      <c r="Z496" s="129">
        <v>112353</v>
      </c>
      <c r="AA496" s="128" t="s">
        <v>741</v>
      </c>
      <c r="AB496" s="128" t="s">
        <v>528</v>
      </c>
      <c r="AC496" s="126" t="s">
        <v>94</v>
      </c>
      <c r="AD496" s="128" t="s">
        <v>744</v>
      </c>
    </row>
    <row r="497" spans="1:30">
      <c r="A497" s="125" t="s">
        <v>1713</v>
      </c>
      <c r="B497" s="126" t="s">
        <v>96</v>
      </c>
      <c r="C497" s="126">
        <f>C496+(BudgetsTable[[#This Row],[lead]]&lt;&gt;K496)</f>
        <v>97</v>
      </c>
      <c r="D497" s="126">
        <f>D496*(BudgetsTable[[#This Row],[lead]]=K496)+(BudgetsTable[[#This Row],[prop_id]]&lt;&gt;A496)</f>
        <v>1</v>
      </c>
      <c r="E497" s="127">
        <v>42935.599305555559</v>
      </c>
      <c r="F497" s="128" t="s">
        <v>242</v>
      </c>
      <c r="G497" s="128" t="s">
        <v>741</v>
      </c>
      <c r="H497" s="128" t="s">
        <v>528</v>
      </c>
      <c r="I497" s="126" t="s">
        <v>543</v>
      </c>
      <c r="J497" s="126" t="s">
        <v>13</v>
      </c>
      <c r="K497" s="128" t="s">
        <v>1713</v>
      </c>
      <c r="L497" s="7" t="str">
        <f>IF(BudgetsTable[[#This Row],[pi_last_name]]=" ","",HYPERLINK("https://www.ejacket.nsf.gov/ej/showProposal.do?Continue=Y&amp;ID="&amp;BudgetsTable[[#This Row],[prop_id]],BudgetsTable[[#This Row],[prop_id]]))</f>
        <v/>
      </c>
      <c r="M497" s="15" t="str">
        <f>IF(BudgetsTable[[#This Row],[pi_last_name]]=" ","",HYPERLINK("https://www.ejacket.nsf.gov/ej/processReviewAnalysis.do?dispatch=add&amp;uniqId="&amp;BudgetsTable[[#This Row],[prop_id]]&amp;PO_id,"&gt;ra"))</f>
        <v/>
      </c>
      <c r="N497" s="128" t="s">
        <v>13</v>
      </c>
      <c r="O497" s="7" t="str">
        <f>IF(BudgetsTable[[#This Row],[pi_last_name]]=" ","",HYPERLINK("mailto:"&amp;BudgetsTable[[#This Row],[pi_email]]&amp;"&amp;subject=Your NSF Proposal:  "&amp;BudgetsTable[[#This Row],[prop_id]],BudgetsTable[[#This Row],[pi_email]]))</f>
        <v/>
      </c>
      <c r="P497" s="128" t="s">
        <v>13</v>
      </c>
      <c r="Q497" s="128">
        <v>1</v>
      </c>
      <c r="R497" s="128">
        <v>1</v>
      </c>
      <c r="S497" s="129">
        <v>0</v>
      </c>
      <c r="T497" s="129">
        <v>3377</v>
      </c>
      <c r="U497" s="129">
        <v>0</v>
      </c>
      <c r="V497" s="130">
        <v>115725</v>
      </c>
      <c r="W497" s="128">
        <v>0</v>
      </c>
      <c r="X497" s="128">
        <v>5</v>
      </c>
      <c r="Y497" s="131" t="str">
        <f ca="1">IF(ISBLANK(BudgetsTable[[#This Row],[budg_seq_yr]]),"FY"&amp;fiscalyear,"FY"&amp;fiscalyear-1+BudgetsTable[[#This Row],[budg_seq_yr]])</f>
        <v>FY22</v>
      </c>
      <c r="Z497" s="129">
        <v>115725</v>
      </c>
      <c r="AA497" s="128" t="s">
        <v>741</v>
      </c>
      <c r="AB497" s="128" t="s">
        <v>528</v>
      </c>
      <c r="AC497" s="126" t="s">
        <v>94</v>
      </c>
      <c r="AD497" s="128" t="s">
        <v>744</v>
      </c>
    </row>
    <row r="498" spans="1:30">
      <c r="A498" s="125" t="s">
        <v>1721</v>
      </c>
      <c r="B498" s="126" t="s">
        <v>96</v>
      </c>
      <c r="C498" s="126">
        <f>C497+(BudgetsTable[[#This Row],[lead]]&lt;&gt;K497)</f>
        <v>98</v>
      </c>
      <c r="D498" s="126">
        <f>D497*(BudgetsTable[[#This Row],[lead]]=K497)+(BudgetsTable[[#This Row],[prop_id]]&lt;&gt;A497)</f>
        <v>1</v>
      </c>
      <c r="E498" s="127">
        <v>42935.603472222225</v>
      </c>
      <c r="F498" s="128" t="s">
        <v>242</v>
      </c>
      <c r="G498" s="128" t="s">
        <v>741</v>
      </c>
      <c r="H498" s="128" t="s">
        <v>528</v>
      </c>
      <c r="I498" s="126" t="s">
        <v>543</v>
      </c>
      <c r="J498" s="126" t="s">
        <v>2424</v>
      </c>
      <c r="K498" s="128" t="s">
        <v>1721</v>
      </c>
      <c r="L498" s="7" t="str">
        <f>IF(BudgetsTable[[#This Row],[pi_last_name]]=" ","",HYPERLINK("https://www.ejacket.nsf.gov/ej/showProposal.do?Continue=Y&amp;ID="&amp;BudgetsTable[[#This Row],[prop_id]],BudgetsTable[[#This Row],[prop_id]]))</f>
        <v>1750651</v>
      </c>
      <c r="M498" s="15" t="str">
        <f>IF(BudgetsTable[[#This Row],[pi_last_name]]=" ","",HYPERLINK("https://www.ejacket.nsf.gov/ej/processReviewAnalysis.do?dispatch=add&amp;uniqId="&amp;BudgetsTable[[#This Row],[prop_id]]&amp;PO_id,"&gt;ra"))</f>
        <v>&gt;ra</v>
      </c>
      <c r="N498" s="128" t="s">
        <v>1722</v>
      </c>
      <c r="O498" s="7" t="str">
        <f>IF(BudgetsTable[[#This Row],[pi_last_name]]=" ","",HYPERLINK("mailto:"&amp;BudgetsTable[[#This Row],[pi_email]]&amp;"&amp;subject=Your NSF Proposal:  "&amp;BudgetsTable[[#This Row],[prop_id]],BudgetsTable[[#This Row],[pi_email]]))</f>
        <v>pranjal.iitm@gmail.com</v>
      </c>
      <c r="P498" s="128" t="s">
        <v>2283</v>
      </c>
      <c r="Q498" s="128"/>
      <c r="R498" s="128"/>
      <c r="S498" s="129"/>
      <c r="T498" s="129"/>
      <c r="U498" s="129"/>
      <c r="V498" s="130"/>
      <c r="W498" s="128">
        <v>0</v>
      </c>
      <c r="X498" s="128"/>
      <c r="Y498" s="131" t="str">
        <f ca="1">IF(ISBLANK(BudgetsTable[[#This Row],[budg_seq_yr]]),"FY"&amp;fiscalyear,"FY"&amp;fiscalyear-1+BudgetsTable[[#This Row],[budg_seq_yr]])</f>
        <v>FY18</v>
      </c>
      <c r="Z498" s="129">
        <v>695874</v>
      </c>
      <c r="AA498" s="128" t="s">
        <v>741</v>
      </c>
      <c r="AB498" s="128" t="s">
        <v>528</v>
      </c>
      <c r="AC498" s="126" t="s">
        <v>94</v>
      </c>
      <c r="AD498" s="128" t="s">
        <v>744</v>
      </c>
    </row>
    <row r="499" spans="1:30">
      <c r="A499" s="125" t="s">
        <v>1721</v>
      </c>
      <c r="B499" s="126" t="s">
        <v>96</v>
      </c>
      <c r="C499" s="126">
        <f>C498+(BudgetsTable[[#This Row],[lead]]&lt;&gt;K498)</f>
        <v>98</v>
      </c>
      <c r="D499" s="126">
        <f>D498*(BudgetsTable[[#This Row],[lead]]=K498)+(BudgetsTable[[#This Row],[prop_id]]&lt;&gt;A498)</f>
        <v>1</v>
      </c>
      <c r="E499" s="127">
        <v>42935.603472222225</v>
      </c>
      <c r="F499" s="128" t="s">
        <v>242</v>
      </c>
      <c r="G499" s="128" t="s">
        <v>741</v>
      </c>
      <c r="H499" s="128" t="s">
        <v>528</v>
      </c>
      <c r="I499" s="126" t="s">
        <v>543</v>
      </c>
      <c r="J499" s="126" t="s">
        <v>13</v>
      </c>
      <c r="K499" s="128" t="s">
        <v>1721</v>
      </c>
      <c r="L499" s="7" t="str">
        <f>IF(BudgetsTable[[#This Row],[pi_last_name]]=" ","",HYPERLINK("https://www.ejacket.nsf.gov/ej/showProposal.do?Continue=Y&amp;ID="&amp;BudgetsTable[[#This Row],[prop_id]],BudgetsTable[[#This Row],[prop_id]]))</f>
        <v/>
      </c>
      <c r="M499" s="15" t="str">
        <f>IF(BudgetsTable[[#This Row],[pi_last_name]]=" ","",HYPERLINK("https://www.ejacket.nsf.gov/ej/processReviewAnalysis.do?dispatch=add&amp;uniqId="&amp;BudgetsTable[[#This Row],[prop_id]]&amp;PO_id,"&gt;ra"))</f>
        <v/>
      </c>
      <c r="N499" s="128" t="s">
        <v>13</v>
      </c>
      <c r="O499" s="7" t="str">
        <f>IF(BudgetsTable[[#This Row],[pi_last_name]]=" ","",HYPERLINK("mailto:"&amp;BudgetsTable[[#This Row],[pi_email]]&amp;"&amp;subject=Your NSF Proposal:  "&amp;BudgetsTable[[#This Row],[prop_id]],BudgetsTable[[#This Row],[pi_email]]))</f>
        <v/>
      </c>
      <c r="P499" s="128" t="s">
        <v>13</v>
      </c>
      <c r="Q499" s="128">
        <v>1</v>
      </c>
      <c r="R499" s="128">
        <v>1</v>
      </c>
      <c r="S499" s="129">
        <v>0</v>
      </c>
      <c r="T499" s="129">
        <v>2575</v>
      </c>
      <c r="U499" s="129">
        <v>0</v>
      </c>
      <c r="V499" s="130">
        <v>130621</v>
      </c>
      <c r="W499" s="128">
        <v>0</v>
      </c>
      <c r="X499" s="128">
        <v>1</v>
      </c>
      <c r="Y499" s="131" t="str">
        <f ca="1">IF(ISBLANK(BudgetsTable[[#This Row],[budg_seq_yr]]),"FY"&amp;fiscalyear,"FY"&amp;fiscalyear-1+BudgetsTable[[#This Row],[budg_seq_yr]])</f>
        <v>FY18</v>
      </c>
      <c r="Z499" s="129">
        <v>130621</v>
      </c>
      <c r="AA499" s="128" t="s">
        <v>741</v>
      </c>
      <c r="AB499" s="128" t="s">
        <v>528</v>
      </c>
      <c r="AC499" s="126" t="s">
        <v>94</v>
      </c>
      <c r="AD499" s="128" t="s">
        <v>744</v>
      </c>
    </row>
    <row r="500" spans="1:30">
      <c r="A500" s="125" t="s">
        <v>1721</v>
      </c>
      <c r="B500" s="126" t="s">
        <v>96</v>
      </c>
      <c r="C500" s="126">
        <f>C499+(BudgetsTable[[#This Row],[lead]]&lt;&gt;K499)</f>
        <v>98</v>
      </c>
      <c r="D500" s="126">
        <f>D499*(BudgetsTable[[#This Row],[lead]]=K499)+(BudgetsTable[[#This Row],[prop_id]]&lt;&gt;A499)</f>
        <v>1</v>
      </c>
      <c r="E500" s="127">
        <v>42935.603472222225</v>
      </c>
      <c r="F500" s="128" t="s">
        <v>242</v>
      </c>
      <c r="G500" s="128" t="s">
        <v>741</v>
      </c>
      <c r="H500" s="128" t="s">
        <v>528</v>
      </c>
      <c r="I500" s="126" t="s">
        <v>543</v>
      </c>
      <c r="J500" s="126" t="s">
        <v>13</v>
      </c>
      <c r="K500" s="128" t="s">
        <v>1721</v>
      </c>
      <c r="L500" s="7" t="str">
        <f>IF(BudgetsTable[[#This Row],[pi_last_name]]=" ","",HYPERLINK("https://www.ejacket.nsf.gov/ej/showProposal.do?Continue=Y&amp;ID="&amp;BudgetsTable[[#This Row],[prop_id]],BudgetsTable[[#This Row],[prop_id]]))</f>
        <v/>
      </c>
      <c r="M500" s="15" t="str">
        <f>IF(BudgetsTable[[#This Row],[pi_last_name]]=" ","",HYPERLINK("https://www.ejacket.nsf.gov/ej/processReviewAnalysis.do?dispatch=add&amp;uniqId="&amp;BudgetsTable[[#This Row],[prop_id]]&amp;PO_id,"&gt;ra"))</f>
        <v/>
      </c>
      <c r="N500" s="128" t="s">
        <v>13</v>
      </c>
      <c r="O500" s="7" t="str">
        <f>IF(BudgetsTable[[#This Row],[pi_last_name]]=" ","",HYPERLINK("mailto:"&amp;BudgetsTable[[#This Row],[pi_email]]&amp;"&amp;subject=Your NSF Proposal:  "&amp;BudgetsTable[[#This Row],[prop_id]],BudgetsTable[[#This Row],[pi_email]]))</f>
        <v/>
      </c>
      <c r="P500" s="128" t="s">
        <v>13</v>
      </c>
      <c r="Q500" s="128">
        <v>1</v>
      </c>
      <c r="R500" s="128">
        <v>1</v>
      </c>
      <c r="S500" s="129">
        <v>0</v>
      </c>
      <c r="T500" s="129">
        <v>2575</v>
      </c>
      <c r="U500" s="129">
        <v>0</v>
      </c>
      <c r="V500" s="130">
        <v>136088</v>
      </c>
      <c r="W500" s="128">
        <v>0</v>
      </c>
      <c r="X500" s="128">
        <v>2</v>
      </c>
      <c r="Y500" s="131" t="str">
        <f ca="1">IF(ISBLANK(BudgetsTable[[#This Row],[budg_seq_yr]]),"FY"&amp;fiscalyear,"FY"&amp;fiscalyear-1+BudgetsTable[[#This Row],[budg_seq_yr]])</f>
        <v>FY19</v>
      </c>
      <c r="Z500" s="129">
        <v>136088</v>
      </c>
      <c r="AA500" s="128" t="s">
        <v>741</v>
      </c>
      <c r="AB500" s="128" t="s">
        <v>528</v>
      </c>
      <c r="AC500" s="126" t="s">
        <v>94</v>
      </c>
      <c r="AD500" s="128" t="s">
        <v>744</v>
      </c>
    </row>
    <row r="501" spans="1:30">
      <c r="A501" s="125" t="s">
        <v>1721</v>
      </c>
      <c r="B501" s="126" t="s">
        <v>96</v>
      </c>
      <c r="C501" s="126">
        <f>C500+(BudgetsTable[[#This Row],[lead]]&lt;&gt;K500)</f>
        <v>98</v>
      </c>
      <c r="D501" s="126">
        <f>D500*(BudgetsTable[[#This Row],[lead]]=K500)+(BudgetsTable[[#This Row],[prop_id]]&lt;&gt;A500)</f>
        <v>1</v>
      </c>
      <c r="E501" s="127">
        <v>42935.603472222225</v>
      </c>
      <c r="F501" s="128" t="s">
        <v>242</v>
      </c>
      <c r="G501" s="128" t="s">
        <v>741</v>
      </c>
      <c r="H501" s="128" t="s">
        <v>528</v>
      </c>
      <c r="I501" s="126" t="s">
        <v>543</v>
      </c>
      <c r="J501" s="126" t="s">
        <v>13</v>
      </c>
      <c r="K501" s="128" t="s">
        <v>1721</v>
      </c>
      <c r="L501" s="7" t="str">
        <f>IF(BudgetsTable[[#This Row],[pi_last_name]]=" ","",HYPERLINK("https://www.ejacket.nsf.gov/ej/showProposal.do?Continue=Y&amp;ID="&amp;BudgetsTable[[#This Row],[prop_id]],BudgetsTable[[#This Row],[prop_id]]))</f>
        <v/>
      </c>
      <c r="M501" s="15" t="str">
        <f>IF(BudgetsTable[[#This Row],[pi_last_name]]=" ","",HYPERLINK("https://www.ejacket.nsf.gov/ej/processReviewAnalysis.do?dispatch=add&amp;uniqId="&amp;BudgetsTable[[#This Row],[prop_id]]&amp;PO_id,"&gt;ra"))</f>
        <v/>
      </c>
      <c r="N501" s="128" t="s">
        <v>13</v>
      </c>
      <c r="O501" s="7" t="str">
        <f>IF(BudgetsTable[[#This Row],[pi_last_name]]=" ","",HYPERLINK("mailto:"&amp;BudgetsTable[[#This Row],[pi_email]]&amp;"&amp;subject=Your NSF Proposal:  "&amp;BudgetsTable[[#This Row],[prop_id]],BudgetsTable[[#This Row],[pi_email]]))</f>
        <v/>
      </c>
      <c r="P501" s="128" t="s">
        <v>13</v>
      </c>
      <c r="Q501" s="128">
        <v>1</v>
      </c>
      <c r="R501" s="128">
        <v>1</v>
      </c>
      <c r="S501" s="129">
        <v>0</v>
      </c>
      <c r="T501" s="129">
        <v>2575</v>
      </c>
      <c r="U501" s="129">
        <v>0</v>
      </c>
      <c r="V501" s="130">
        <v>139503</v>
      </c>
      <c r="W501" s="128">
        <v>0</v>
      </c>
      <c r="X501" s="128">
        <v>3</v>
      </c>
      <c r="Y501" s="131" t="str">
        <f ca="1">IF(ISBLANK(BudgetsTable[[#This Row],[budg_seq_yr]]),"FY"&amp;fiscalyear,"FY"&amp;fiscalyear-1+BudgetsTable[[#This Row],[budg_seq_yr]])</f>
        <v>FY20</v>
      </c>
      <c r="Z501" s="129">
        <v>139503</v>
      </c>
      <c r="AA501" s="128" t="s">
        <v>741</v>
      </c>
      <c r="AB501" s="128" t="s">
        <v>528</v>
      </c>
      <c r="AC501" s="126" t="s">
        <v>94</v>
      </c>
      <c r="AD501" s="128" t="s">
        <v>744</v>
      </c>
    </row>
    <row r="502" spans="1:30">
      <c r="A502" s="125" t="s">
        <v>1721</v>
      </c>
      <c r="B502" s="126" t="s">
        <v>96</v>
      </c>
      <c r="C502" s="126">
        <f>C501+(BudgetsTable[[#This Row],[lead]]&lt;&gt;K501)</f>
        <v>98</v>
      </c>
      <c r="D502" s="126">
        <f>D501*(BudgetsTable[[#This Row],[lead]]=K501)+(BudgetsTable[[#This Row],[prop_id]]&lt;&gt;A501)</f>
        <v>1</v>
      </c>
      <c r="E502" s="127">
        <v>42935.603472222225</v>
      </c>
      <c r="F502" s="128" t="s">
        <v>242</v>
      </c>
      <c r="G502" s="128" t="s">
        <v>741</v>
      </c>
      <c r="H502" s="128" t="s">
        <v>528</v>
      </c>
      <c r="I502" s="126" t="s">
        <v>543</v>
      </c>
      <c r="J502" s="126" t="s">
        <v>13</v>
      </c>
      <c r="K502" s="128" t="s">
        <v>1721</v>
      </c>
      <c r="L502" s="7" t="str">
        <f>IF(BudgetsTable[[#This Row],[pi_last_name]]=" ","",HYPERLINK("https://www.ejacket.nsf.gov/ej/showProposal.do?Continue=Y&amp;ID="&amp;BudgetsTable[[#This Row],[prop_id]],BudgetsTable[[#This Row],[prop_id]]))</f>
        <v/>
      </c>
      <c r="M502" s="15" t="str">
        <f>IF(BudgetsTable[[#This Row],[pi_last_name]]=" ","",HYPERLINK("https://www.ejacket.nsf.gov/ej/processReviewAnalysis.do?dispatch=add&amp;uniqId="&amp;BudgetsTable[[#This Row],[prop_id]]&amp;PO_id,"&gt;ra"))</f>
        <v/>
      </c>
      <c r="N502" s="128" t="s">
        <v>13</v>
      </c>
      <c r="O502" s="7" t="str">
        <f>IF(BudgetsTable[[#This Row],[pi_last_name]]=" ","",HYPERLINK("mailto:"&amp;BudgetsTable[[#This Row],[pi_email]]&amp;"&amp;subject=Your NSF Proposal:  "&amp;BudgetsTable[[#This Row],[prop_id]],BudgetsTable[[#This Row],[pi_email]]))</f>
        <v/>
      </c>
      <c r="P502" s="128" t="s">
        <v>13</v>
      </c>
      <c r="Q502" s="128">
        <v>1</v>
      </c>
      <c r="R502" s="128">
        <v>1</v>
      </c>
      <c r="S502" s="129">
        <v>0</v>
      </c>
      <c r="T502" s="129">
        <v>2575</v>
      </c>
      <c r="U502" s="129">
        <v>0</v>
      </c>
      <c r="V502" s="130">
        <v>143019</v>
      </c>
      <c r="W502" s="128">
        <v>0</v>
      </c>
      <c r="X502" s="128">
        <v>4</v>
      </c>
      <c r="Y502" s="131" t="str">
        <f ca="1">IF(ISBLANK(BudgetsTable[[#This Row],[budg_seq_yr]]),"FY"&amp;fiscalyear,"FY"&amp;fiscalyear-1+BudgetsTable[[#This Row],[budg_seq_yr]])</f>
        <v>FY21</v>
      </c>
      <c r="Z502" s="129">
        <v>143019</v>
      </c>
      <c r="AA502" s="128" t="s">
        <v>741</v>
      </c>
      <c r="AB502" s="128" t="s">
        <v>528</v>
      </c>
      <c r="AC502" s="126" t="s">
        <v>94</v>
      </c>
      <c r="AD502" s="128" t="s">
        <v>744</v>
      </c>
    </row>
    <row r="503" spans="1:30">
      <c r="A503" s="125" t="s">
        <v>1721</v>
      </c>
      <c r="B503" s="126" t="s">
        <v>96</v>
      </c>
      <c r="C503" s="126">
        <f>C502+(BudgetsTable[[#This Row],[lead]]&lt;&gt;K502)</f>
        <v>98</v>
      </c>
      <c r="D503" s="126">
        <f>D502*(BudgetsTable[[#This Row],[lead]]=K502)+(BudgetsTable[[#This Row],[prop_id]]&lt;&gt;A502)</f>
        <v>1</v>
      </c>
      <c r="E503" s="127">
        <v>42935.603472222225</v>
      </c>
      <c r="F503" s="128" t="s">
        <v>242</v>
      </c>
      <c r="G503" s="128" t="s">
        <v>741</v>
      </c>
      <c r="H503" s="128" t="s">
        <v>528</v>
      </c>
      <c r="I503" s="126" t="s">
        <v>543</v>
      </c>
      <c r="J503" s="126" t="s">
        <v>13</v>
      </c>
      <c r="K503" s="128" t="s">
        <v>1721</v>
      </c>
      <c r="L503" s="7" t="str">
        <f>IF(BudgetsTable[[#This Row],[pi_last_name]]=" ","",HYPERLINK("https://www.ejacket.nsf.gov/ej/showProposal.do?Continue=Y&amp;ID="&amp;BudgetsTable[[#This Row],[prop_id]],BudgetsTable[[#This Row],[prop_id]]))</f>
        <v/>
      </c>
      <c r="M503" s="15" t="str">
        <f>IF(BudgetsTable[[#This Row],[pi_last_name]]=" ","",HYPERLINK("https://www.ejacket.nsf.gov/ej/processReviewAnalysis.do?dispatch=add&amp;uniqId="&amp;BudgetsTable[[#This Row],[prop_id]]&amp;PO_id,"&gt;ra"))</f>
        <v/>
      </c>
      <c r="N503" s="128" t="s">
        <v>13</v>
      </c>
      <c r="O503" s="7" t="str">
        <f>IF(BudgetsTable[[#This Row],[pi_last_name]]=" ","",HYPERLINK("mailto:"&amp;BudgetsTable[[#This Row],[pi_email]]&amp;"&amp;subject=Your NSF Proposal:  "&amp;BudgetsTable[[#This Row],[prop_id]],BudgetsTable[[#This Row],[pi_email]]))</f>
        <v/>
      </c>
      <c r="P503" s="128" t="s">
        <v>13</v>
      </c>
      <c r="Q503" s="128">
        <v>1</v>
      </c>
      <c r="R503" s="128">
        <v>1</v>
      </c>
      <c r="S503" s="129">
        <v>0</v>
      </c>
      <c r="T503" s="129">
        <v>2575</v>
      </c>
      <c r="U503" s="129">
        <v>0</v>
      </c>
      <c r="V503" s="130">
        <v>146643</v>
      </c>
      <c r="W503" s="128">
        <v>0</v>
      </c>
      <c r="X503" s="128">
        <v>5</v>
      </c>
      <c r="Y503" s="131" t="str">
        <f ca="1">IF(ISBLANK(BudgetsTable[[#This Row],[budg_seq_yr]]),"FY"&amp;fiscalyear,"FY"&amp;fiscalyear-1+BudgetsTable[[#This Row],[budg_seq_yr]])</f>
        <v>FY22</v>
      </c>
      <c r="Z503" s="129">
        <v>146643</v>
      </c>
      <c r="AA503" s="128" t="s">
        <v>741</v>
      </c>
      <c r="AB503" s="128" t="s">
        <v>528</v>
      </c>
      <c r="AC503" s="126" t="s">
        <v>94</v>
      </c>
      <c r="AD503" s="128" t="s">
        <v>744</v>
      </c>
    </row>
    <row r="504" spans="1:30">
      <c r="A504" s="125" t="s">
        <v>1729</v>
      </c>
      <c r="B504" s="126" t="s">
        <v>96</v>
      </c>
      <c r="C504" s="126">
        <f>C503+(BudgetsTable[[#This Row],[lead]]&lt;&gt;K503)</f>
        <v>99</v>
      </c>
      <c r="D504" s="126">
        <f>D503*(BudgetsTable[[#This Row],[lead]]=K503)+(BudgetsTable[[#This Row],[prop_id]]&lt;&gt;A503)</f>
        <v>1</v>
      </c>
      <c r="E504" s="127">
        <v>42935.620138888888</v>
      </c>
      <c r="F504" s="128" t="s">
        <v>242</v>
      </c>
      <c r="G504" s="128" t="s">
        <v>741</v>
      </c>
      <c r="H504" s="128" t="s">
        <v>528</v>
      </c>
      <c r="I504" s="126" t="s">
        <v>1530</v>
      </c>
      <c r="J504" s="126" t="s">
        <v>2428</v>
      </c>
      <c r="K504" s="128" t="s">
        <v>1729</v>
      </c>
      <c r="L504" s="7" t="str">
        <f>IF(BudgetsTable[[#This Row],[pi_last_name]]=" ","",HYPERLINK("https://www.ejacket.nsf.gov/ej/showProposal.do?Continue=Y&amp;ID="&amp;BudgetsTable[[#This Row],[prop_id]],BudgetsTable[[#This Row],[prop_id]]))</f>
        <v>1750716</v>
      </c>
      <c r="M504" s="15" t="str">
        <f>IF(BudgetsTable[[#This Row],[pi_last_name]]=" ","",HYPERLINK("https://www.ejacket.nsf.gov/ej/processReviewAnalysis.do?dispatch=add&amp;uniqId="&amp;BudgetsTable[[#This Row],[prop_id]]&amp;PO_id,"&gt;ra"))</f>
        <v>&gt;ra</v>
      </c>
      <c r="N504" s="128" t="s">
        <v>1730</v>
      </c>
      <c r="O504" s="7" t="str">
        <f>IF(BudgetsTable[[#This Row],[pi_last_name]]=" ","",HYPERLINK("mailto:"&amp;BudgetsTable[[#This Row],[pi_email]]&amp;"&amp;subject=Your NSF Proposal:  "&amp;BudgetsTable[[#This Row],[prop_id]],BudgetsTable[[#This Row],[pi_email]]))</f>
        <v>hu.nguyen@neu.edu</v>
      </c>
      <c r="P504" s="128" t="s">
        <v>2417</v>
      </c>
      <c r="Q504" s="128"/>
      <c r="R504" s="128"/>
      <c r="S504" s="129"/>
      <c r="T504" s="129"/>
      <c r="U504" s="129"/>
      <c r="V504" s="130"/>
      <c r="W504" s="128">
        <v>0</v>
      </c>
      <c r="X504" s="128"/>
      <c r="Y504" s="131" t="str">
        <f ca="1">IF(ISBLANK(BudgetsTable[[#This Row],[budg_seq_yr]]),"FY"&amp;fiscalyear,"FY"&amp;fiscalyear-1+BudgetsTable[[#This Row],[budg_seq_yr]])</f>
        <v>FY18</v>
      </c>
      <c r="Z504" s="129">
        <v>551453</v>
      </c>
      <c r="AA504" s="128" t="s">
        <v>741</v>
      </c>
      <c r="AB504" s="128" t="s">
        <v>528</v>
      </c>
      <c r="AC504" s="126" t="s">
        <v>94</v>
      </c>
      <c r="AD504" s="128" t="s">
        <v>744</v>
      </c>
    </row>
    <row r="505" spans="1:30">
      <c r="A505" s="125" t="s">
        <v>1729</v>
      </c>
      <c r="B505" s="126" t="s">
        <v>96</v>
      </c>
      <c r="C505" s="126">
        <f>C504+(BudgetsTable[[#This Row],[lead]]&lt;&gt;K504)</f>
        <v>99</v>
      </c>
      <c r="D505" s="126">
        <f>D504*(BudgetsTable[[#This Row],[lead]]=K504)+(BudgetsTable[[#This Row],[prop_id]]&lt;&gt;A504)</f>
        <v>1</v>
      </c>
      <c r="E505" s="127">
        <v>42935.620138888888</v>
      </c>
      <c r="F505" s="128" t="s">
        <v>242</v>
      </c>
      <c r="G505" s="128" t="s">
        <v>741</v>
      </c>
      <c r="H505" s="128" t="s">
        <v>528</v>
      </c>
      <c r="I505" s="126" t="s">
        <v>1530</v>
      </c>
      <c r="J505" s="126" t="s">
        <v>13</v>
      </c>
      <c r="K505" s="128" t="s">
        <v>1729</v>
      </c>
      <c r="L505" s="7" t="str">
        <f>IF(BudgetsTable[[#This Row],[pi_last_name]]=" ","",HYPERLINK("https://www.ejacket.nsf.gov/ej/showProposal.do?Continue=Y&amp;ID="&amp;BudgetsTable[[#This Row],[prop_id]],BudgetsTable[[#This Row],[prop_id]]))</f>
        <v/>
      </c>
      <c r="M505" s="15" t="str">
        <f>IF(BudgetsTable[[#This Row],[pi_last_name]]=" ","",HYPERLINK("https://www.ejacket.nsf.gov/ej/processReviewAnalysis.do?dispatch=add&amp;uniqId="&amp;BudgetsTable[[#This Row],[prop_id]]&amp;PO_id,"&gt;ra"))</f>
        <v/>
      </c>
      <c r="N505" s="128" t="s">
        <v>13</v>
      </c>
      <c r="O505" s="7" t="str">
        <f>IF(BudgetsTable[[#This Row],[pi_last_name]]=" ","",HYPERLINK("mailto:"&amp;BudgetsTable[[#This Row],[pi_email]]&amp;"&amp;subject=Your NSF Proposal:  "&amp;BudgetsTable[[#This Row],[prop_id]],BudgetsTable[[#This Row],[pi_email]]))</f>
        <v/>
      </c>
      <c r="P505" s="128" t="s">
        <v>13</v>
      </c>
      <c r="Q505" s="128">
        <v>1</v>
      </c>
      <c r="R505" s="128">
        <v>1</v>
      </c>
      <c r="S505" s="129">
        <v>0</v>
      </c>
      <c r="T505" s="129">
        <v>2500</v>
      </c>
      <c r="U505" s="129">
        <v>0</v>
      </c>
      <c r="V505" s="130">
        <v>103869</v>
      </c>
      <c r="W505" s="128">
        <v>0</v>
      </c>
      <c r="X505" s="128">
        <v>1</v>
      </c>
      <c r="Y505" s="131" t="str">
        <f ca="1">IF(ISBLANK(BudgetsTable[[#This Row],[budg_seq_yr]]),"FY"&amp;fiscalyear,"FY"&amp;fiscalyear-1+BudgetsTable[[#This Row],[budg_seq_yr]])</f>
        <v>FY18</v>
      </c>
      <c r="Z505" s="129">
        <v>103869</v>
      </c>
      <c r="AA505" s="128" t="s">
        <v>741</v>
      </c>
      <c r="AB505" s="128" t="s">
        <v>528</v>
      </c>
      <c r="AC505" s="126" t="s">
        <v>94</v>
      </c>
      <c r="AD505" s="128" t="s">
        <v>744</v>
      </c>
    </row>
    <row r="506" spans="1:30">
      <c r="A506" s="125" t="s">
        <v>1729</v>
      </c>
      <c r="B506" s="126" t="s">
        <v>96</v>
      </c>
      <c r="C506" s="126">
        <f>C505+(BudgetsTable[[#This Row],[lead]]&lt;&gt;K505)</f>
        <v>99</v>
      </c>
      <c r="D506" s="126">
        <f>D505*(BudgetsTable[[#This Row],[lead]]=K505)+(BudgetsTable[[#This Row],[prop_id]]&lt;&gt;A505)</f>
        <v>1</v>
      </c>
      <c r="E506" s="127">
        <v>42935.620138888888</v>
      </c>
      <c r="F506" s="128" t="s">
        <v>242</v>
      </c>
      <c r="G506" s="128" t="s">
        <v>741</v>
      </c>
      <c r="H506" s="128" t="s">
        <v>528</v>
      </c>
      <c r="I506" s="126" t="s">
        <v>1530</v>
      </c>
      <c r="J506" s="126" t="s">
        <v>13</v>
      </c>
      <c r="K506" s="128" t="s">
        <v>1729</v>
      </c>
      <c r="L506" s="7" t="str">
        <f>IF(BudgetsTable[[#This Row],[pi_last_name]]=" ","",HYPERLINK("https://www.ejacket.nsf.gov/ej/showProposal.do?Continue=Y&amp;ID="&amp;BudgetsTable[[#This Row],[prop_id]],BudgetsTable[[#This Row],[prop_id]]))</f>
        <v/>
      </c>
      <c r="M506" s="15" t="str">
        <f>IF(BudgetsTable[[#This Row],[pi_last_name]]=" ","",HYPERLINK("https://www.ejacket.nsf.gov/ej/processReviewAnalysis.do?dispatch=add&amp;uniqId="&amp;BudgetsTable[[#This Row],[prop_id]]&amp;PO_id,"&gt;ra"))</f>
        <v/>
      </c>
      <c r="N506" s="128" t="s">
        <v>13</v>
      </c>
      <c r="O506" s="7" t="str">
        <f>IF(BudgetsTable[[#This Row],[pi_last_name]]=" ","",HYPERLINK("mailto:"&amp;BudgetsTable[[#This Row],[pi_email]]&amp;"&amp;subject=Your NSF Proposal:  "&amp;BudgetsTable[[#This Row],[prop_id]],BudgetsTable[[#This Row],[pi_email]]))</f>
        <v/>
      </c>
      <c r="P506" s="128" t="s">
        <v>13</v>
      </c>
      <c r="Q506" s="128">
        <v>1</v>
      </c>
      <c r="R506" s="128">
        <v>1</v>
      </c>
      <c r="S506" s="129">
        <v>0</v>
      </c>
      <c r="T506" s="129">
        <v>2575</v>
      </c>
      <c r="U506" s="129">
        <v>0</v>
      </c>
      <c r="V506" s="130">
        <v>106984</v>
      </c>
      <c r="W506" s="128">
        <v>0</v>
      </c>
      <c r="X506" s="128">
        <v>2</v>
      </c>
      <c r="Y506" s="131" t="str">
        <f ca="1">IF(ISBLANK(BudgetsTable[[#This Row],[budg_seq_yr]]),"FY"&amp;fiscalyear,"FY"&amp;fiscalyear-1+BudgetsTable[[#This Row],[budg_seq_yr]])</f>
        <v>FY19</v>
      </c>
      <c r="Z506" s="129">
        <v>106984</v>
      </c>
      <c r="AA506" s="128" t="s">
        <v>741</v>
      </c>
      <c r="AB506" s="128" t="s">
        <v>528</v>
      </c>
      <c r="AC506" s="126" t="s">
        <v>94</v>
      </c>
      <c r="AD506" s="128" t="s">
        <v>744</v>
      </c>
    </row>
    <row r="507" spans="1:30">
      <c r="A507" s="125" t="s">
        <v>1729</v>
      </c>
      <c r="B507" s="126" t="s">
        <v>96</v>
      </c>
      <c r="C507" s="126">
        <f>C506+(BudgetsTable[[#This Row],[lead]]&lt;&gt;K506)</f>
        <v>99</v>
      </c>
      <c r="D507" s="126">
        <f>D506*(BudgetsTable[[#This Row],[lead]]=K506)+(BudgetsTable[[#This Row],[prop_id]]&lt;&gt;A506)</f>
        <v>1</v>
      </c>
      <c r="E507" s="127">
        <v>42935.620138888888</v>
      </c>
      <c r="F507" s="128" t="s">
        <v>242</v>
      </c>
      <c r="G507" s="128" t="s">
        <v>741</v>
      </c>
      <c r="H507" s="128" t="s">
        <v>528</v>
      </c>
      <c r="I507" s="126" t="s">
        <v>1530</v>
      </c>
      <c r="J507" s="126" t="s">
        <v>13</v>
      </c>
      <c r="K507" s="128" t="s">
        <v>1729</v>
      </c>
      <c r="L507" s="7" t="str">
        <f>IF(BudgetsTable[[#This Row],[pi_last_name]]=" ","",HYPERLINK("https://www.ejacket.nsf.gov/ej/showProposal.do?Continue=Y&amp;ID="&amp;BudgetsTable[[#This Row],[prop_id]],BudgetsTable[[#This Row],[prop_id]]))</f>
        <v/>
      </c>
      <c r="M507" s="15" t="str">
        <f>IF(BudgetsTable[[#This Row],[pi_last_name]]=" ","",HYPERLINK("https://www.ejacket.nsf.gov/ej/processReviewAnalysis.do?dispatch=add&amp;uniqId="&amp;BudgetsTable[[#This Row],[prop_id]]&amp;PO_id,"&gt;ra"))</f>
        <v/>
      </c>
      <c r="N507" s="128" t="s">
        <v>13</v>
      </c>
      <c r="O507" s="7" t="str">
        <f>IF(BudgetsTable[[#This Row],[pi_last_name]]=" ","",HYPERLINK("mailto:"&amp;BudgetsTable[[#This Row],[pi_email]]&amp;"&amp;subject=Your NSF Proposal:  "&amp;BudgetsTable[[#This Row],[prop_id]],BudgetsTable[[#This Row],[pi_email]]))</f>
        <v/>
      </c>
      <c r="P507" s="128" t="s">
        <v>13</v>
      </c>
      <c r="Q507" s="128">
        <v>1</v>
      </c>
      <c r="R507" s="128">
        <v>1</v>
      </c>
      <c r="S507" s="129">
        <v>0</v>
      </c>
      <c r="T507" s="129">
        <v>2652</v>
      </c>
      <c r="U507" s="129">
        <v>0</v>
      </c>
      <c r="V507" s="130">
        <v>110195</v>
      </c>
      <c r="W507" s="128">
        <v>0</v>
      </c>
      <c r="X507" s="128">
        <v>3</v>
      </c>
      <c r="Y507" s="131" t="str">
        <f ca="1">IF(ISBLANK(BudgetsTable[[#This Row],[budg_seq_yr]]),"FY"&amp;fiscalyear,"FY"&amp;fiscalyear-1+BudgetsTable[[#This Row],[budg_seq_yr]])</f>
        <v>FY20</v>
      </c>
      <c r="Z507" s="129">
        <v>110195</v>
      </c>
      <c r="AA507" s="128" t="s">
        <v>741</v>
      </c>
      <c r="AB507" s="128" t="s">
        <v>528</v>
      </c>
      <c r="AC507" s="126" t="s">
        <v>94</v>
      </c>
      <c r="AD507" s="128" t="s">
        <v>744</v>
      </c>
    </row>
    <row r="508" spans="1:30">
      <c r="A508" s="125" t="s">
        <v>1729</v>
      </c>
      <c r="B508" s="126" t="s">
        <v>96</v>
      </c>
      <c r="C508" s="126">
        <f>C507+(BudgetsTable[[#This Row],[lead]]&lt;&gt;K507)</f>
        <v>99</v>
      </c>
      <c r="D508" s="126">
        <f>D507*(BudgetsTable[[#This Row],[lead]]=K507)+(BudgetsTable[[#This Row],[prop_id]]&lt;&gt;A507)</f>
        <v>1</v>
      </c>
      <c r="E508" s="127">
        <v>42935.620138888888</v>
      </c>
      <c r="F508" s="128" t="s">
        <v>242</v>
      </c>
      <c r="G508" s="128" t="s">
        <v>741</v>
      </c>
      <c r="H508" s="128" t="s">
        <v>528</v>
      </c>
      <c r="I508" s="126" t="s">
        <v>1530</v>
      </c>
      <c r="J508" s="126" t="s">
        <v>13</v>
      </c>
      <c r="K508" s="128" t="s">
        <v>1729</v>
      </c>
      <c r="L508" s="7" t="str">
        <f>IF(BudgetsTable[[#This Row],[pi_last_name]]=" ","",HYPERLINK("https://www.ejacket.nsf.gov/ej/showProposal.do?Continue=Y&amp;ID="&amp;BudgetsTable[[#This Row],[prop_id]],BudgetsTable[[#This Row],[prop_id]]))</f>
        <v/>
      </c>
      <c r="M508" s="15" t="str">
        <f>IF(BudgetsTable[[#This Row],[pi_last_name]]=" ","",HYPERLINK("https://www.ejacket.nsf.gov/ej/processReviewAnalysis.do?dispatch=add&amp;uniqId="&amp;BudgetsTable[[#This Row],[prop_id]]&amp;PO_id,"&gt;ra"))</f>
        <v/>
      </c>
      <c r="N508" s="128" t="s">
        <v>13</v>
      </c>
      <c r="O508" s="7" t="str">
        <f>IF(BudgetsTable[[#This Row],[pi_last_name]]=" ","",HYPERLINK("mailto:"&amp;BudgetsTable[[#This Row],[pi_email]]&amp;"&amp;subject=Your NSF Proposal:  "&amp;BudgetsTable[[#This Row],[prop_id]],BudgetsTable[[#This Row],[pi_email]]))</f>
        <v/>
      </c>
      <c r="P508" s="128" t="s">
        <v>13</v>
      </c>
      <c r="Q508" s="128">
        <v>1</v>
      </c>
      <c r="R508" s="128">
        <v>1</v>
      </c>
      <c r="S508" s="129">
        <v>0</v>
      </c>
      <c r="T508" s="129">
        <v>2732</v>
      </c>
      <c r="U508" s="129">
        <v>0</v>
      </c>
      <c r="V508" s="130">
        <v>113499</v>
      </c>
      <c r="W508" s="128">
        <v>0</v>
      </c>
      <c r="X508" s="128">
        <v>4</v>
      </c>
      <c r="Y508" s="131" t="str">
        <f ca="1">IF(ISBLANK(BudgetsTable[[#This Row],[budg_seq_yr]]),"FY"&amp;fiscalyear,"FY"&amp;fiscalyear-1+BudgetsTable[[#This Row],[budg_seq_yr]])</f>
        <v>FY21</v>
      </c>
      <c r="Z508" s="129">
        <v>113499</v>
      </c>
      <c r="AA508" s="128" t="s">
        <v>741</v>
      </c>
      <c r="AB508" s="128" t="s">
        <v>528</v>
      </c>
      <c r="AC508" s="126" t="s">
        <v>94</v>
      </c>
      <c r="AD508" s="128" t="s">
        <v>744</v>
      </c>
    </row>
    <row r="509" spans="1:30">
      <c r="A509" s="125" t="s">
        <v>1729</v>
      </c>
      <c r="B509" s="126" t="s">
        <v>96</v>
      </c>
      <c r="C509" s="126">
        <f>C508+(BudgetsTable[[#This Row],[lead]]&lt;&gt;K508)</f>
        <v>99</v>
      </c>
      <c r="D509" s="126">
        <f>D508*(BudgetsTable[[#This Row],[lead]]=K508)+(BudgetsTable[[#This Row],[prop_id]]&lt;&gt;A508)</f>
        <v>1</v>
      </c>
      <c r="E509" s="127">
        <v>42935.620138888888</v>
      </c>
      <c r="F509" s="128" t="s">
        <v>242</v>
      </c>
      <c r="G509" s="128" t="s">
        <v>741</v>
      </c>
      <c r="H509" s="128" t="s">
        <v>528</v>
      </c>
      <c r="I509" s="126" t="s">
        <v>1530</v>
      </c>
      <c r="J509" s="126" t="s">
        <v>13</v>
      </c>
      <c r="K509" s="128" t="s">
        <v>1729</v>
      </c>
      <c r="L509" s="7" t="str">
        <f>IF(BudgetsTable[[#This Row],[pi_last_name]]=" ","",HYPERLINK("https://www.ejacket.nsf.gov/ej/showProposal.do?Continue=Y&amp;ID="&amp;BudgetsTable[[#This Row],[prop_id]],BudgetsTable[[#This Row],[prop_id]]))</f>
        <v/>
      </c>
      <c r="M509" s="15" t="str">
        <f>IF(BudgetsTable[[#This Row],[pi_last_name]]=" ","",HYPERLINK("https://www.ejacket.nsf.gov/ej/processReviewAnalysis.do?dispatch=add&amp;uniqId="&amp;BudgetsTable[[#This Row],[prop_id]]&amp;PO_id,"&gt;ra"))</f>
        <v/>
      </c>
      <c r="N509" s="128" t="s">
        <v>13</v>
      </c>
      <c r="O509" s="7" t="str">
        <f>IF(BudgetsTable[[#This Row],[pi_last_name]]=" ","",HYPERLINK("mailto:"&amp;BudgetsTable[[#This Row],[pi_email]]&amp;"&amp;subject=Your NSF Proposal:  "&amp;BudgetsTable[[#This Row],[prop_id]],BudgetsTable[[#This Row],[pi_email]]))</f>
        <v/>
      </c>
      <c r="P509" s="128" t="s">
        <v>13</v>
      </c>
      <c r="Q509" s="128">
        <v>1</v>
      </c>
      <c r="R509" s="128">
        <v>1</v>
      </c>
      <c r="S509" s="129">
        <v>0</v>
      </c>
      <c r="T509" s="129">
        <v>2814</v>
      </c>
      <c r="U509" s="129">
        <v>0</v>
      </c>
      <c r="V509" s="130">
        <v>116906</v>
      </c>
      <c r="W509" s="128">
        <v>0</v>
      </c>
      <c r="X509" s="128">
        <v>5</v>
      </c>
      <c r="Y509" s="131" t="str">
        <f ca="1">IF(ISBLANK(BudgetsTable[[#This Row],[budg_seq_yr]]),"FY"&amp;fiscalyear,"FY"&amp;fiscalyear-1+BudgetsTable[[#This Row],[budg_seq_yr]])</f>
        <v>FY22</v>
      </c>
      <c r="Z509" s="129">
        <v>116906</v>
      </c>
      <c r="AA509" s="128" t="s">
        <v>741</v>
      </c>
      <c r="AB509" s="128" t="s">
        <v>528</v>
      </c>
      <c r="AC509" s="126" t="s">
        <v>94</v>
      </c>
      <c r="AD509" s="128" t="s">
        <v>744</v>
      </c>
    </row>
    <row r="510" spans="1:30">
      <c r="A510" s="125" t="s">
        <v>666</v>
      </c>
      <c r="B510" s="126" t="s">
        <v>96</v>
      </c>
      <c r="C510" s="126">
        <f>C509+(BudgetsTable[[#This Row],[lead]]&lt;&gt;K509)</f>
        <v>100</v>
      </c>
      <c r="D510" s="126">
        <f>D509*(BudgetsTable[[#This Row],[lead]]=K509)+(BudgetsTable[[#This Row],[prop_id]]&lt;&gt;A509)</f>
        <v>1</v>
      </c>
      <c r="E510" s="127">
        <v>42935.633333333331</v>
      </c>
      <c r="F510" s="128" t="s">
        <v>242</v>
      </c>
      <c r="G510" s="128" t="s">
        <v>741</v>
      </c>
      <c r="H510" s="128" t="s">
        <v>528</v>
      </c>
      <c r="I510" s="126" t="s">
        <v>540</v>
      </c>
      <c r="J510" s="126" t="s">
        <v>793</v>
      </c>
      <c r="K510" s="128" t="s">
        <v>666</v>
      </c>
      <c r="L510" s="7" t="str">
        <f>IF(BudgetsTable[[#This Row],[pi_last_name]]=" ","",HYPERLINK("https://www.ejacket.nsf.gov/ej/showProposal.do?Continue=Y&amp;ID="&amp;BudgetsTable[[#This Row],[prop_id]],BudgetsTable[[#This Row],[prop_id]]))</f>
        <v>1750780</v>
      </c>
      <c r="M510" s="15" t="str">
        <f>IF(BudgetsTable[[#This Row],[pi_last_name]]=" ","",HYPERLINK("https://www.ejacket.nsf.gov/ej/processReviewAnalysis.do?dispatch=add&amp;uniqId="&amp;BudgetsTable[[#This Row],[prop_id]]&amp;PO_id,"&gt;ra"))</f>
        <v>&gt;ra</v>
      </c>
      <c r="N510" s="128" t="s">
        <v>667</v>
      </c>
      <c r="O510" s="7" t="str">
        <f>IF(BudgetsTable[[#This Row],[pi_last_name]]=" ","",HYPERLINK("mailto:"&amp;BudgetsTable[[#This Row],[pi_email]]&amp;"&amp;subject=Your NSF Proposal:  "&amp;BudgetsTable[[#This Row],[prop_id]],BudgetsTable[[#This Row],[pi_email]]))</f>
        <v>Benjamin.Raichel@utdallas.edu</v>
      </c>
      <c r="P510" s="128" t="s">
        <v>790</v>
      </c>
      <c r="Q510" s="128"/>
      <c r="R510" s="128"/>
      <c r="S510" s="129"/>
      <c r="T510" s="129"/>
      <c r="U510" s="129"/>
      <c r="V510" s="130"/>
      <c r="W510" s="128">
        <v>0</v>
      </c>
      <c r="X510" s="128"/>
      <c r="Y510" s="131" t="str">
        <f ca="1">IF(ISBLANK(BudgetsTable[[#This Row],[budg_seq_yr]]),"FY"&amp;fiscalyear,"FY"&amp;fiscalyear-1+BudgetsTable[[#This Row],[budg_seq_yr]])</f>
        <v>FY18</v>
      </c>
      <c r="Z510" s="129">
        <v>582785</v>
      </c>
      <c r="AA510" s="128" t="s">
        <v>741</v>
      </c>
      <c r="AB510" s="128" t="s">
        <v>528</v>
      </c>
      <c r="AC510" s="126" t="s">
        <v>94</v>
      </c>
      <c r="AD510" s="128" t="s">
        <v>751</v>
      </c>
    </row>
    <row r="511" spans="1:30">
      <c r="A511" s="125" t="s">
        <v>666</v>
      </c>
      <c r="B511" s="126" t="s">
        <v>96</v>
      </c>
      <c r="C511" s="126">
        <f>C510+(BudgetsTable[[#This Row],[lead]]&lt;&gt;K510)</f>
        <v>100</v>
      </c>
      <c r="D511" s="126">
        <f>D510*(BudgetsTable[[#This Row],[lead]]=K510)+(BudgetsTable[[#This Row],[prop_id]]&lt;&gt;A510)</f>
        <v>1</v>
      </c>
      <c r="E511" s="127">
        <v>42935.633333333331</v>
      </c>
      <c r="F511" s="128" t="s">
        <v>242</v>
      </c>
      <c r="G511" s="128" t="s">
        <v>741</v>
      </c>
      <c r="H511" s="128" t="s">
        <v>528</v>
      </c>
      <c r="I511" s="126" t="s">
        <v>540</v>
      </c>
      <c r="J511" s="126" t="s">
        <v>13</v>
      </c>
      <c r="K511" s="128" t="s">
        <v>666</v>
      </c>
      <c r="L511" s="7" t="str">
        <f>IF(BudgetsTable[[#This Row],[pi_last_name]]=" ","",HYPERLINK("https://www.ejacket.nsf.gov/ej/showProposal.do?Continue=Y&amp;ID="&amp;BudgetsTable[[#This Row],[prop_id]],BudgetsTable[[#This Row],[prop_id]]))</f>
        <v/>
      </c>
      <c r="M511" s="15" t="str">
        <f>IF(BudgetsTable[[#This Row],[pi_last_name]]=" ","",HYPERLINK("https://www.ejacket.nsf.gov/ej/processReviewAnalysis.do?dispatch=add&amp;uniqId="&amp;BudgetsTable[[#This Row],[prop_id]]&amp;PO_id,"&gt;ra"))</f>
        <v/>
      </c>
      <c r="N511" s="128" t="s">
        <v>13</v>
      </c>
      <c r="O511" s="7" t="str">
        <f>IF(BudgetsTable[[#This Row],[pi_last_name]]=" ","",HYPERLINK("mailto:"&amp;BudgetsTable[[#This Row],[pi_email]]&amp;"&amp;subject=Your NSF Proposal:  "&amp;BudgetsTable[[#This Row],[prop_id]],BudgetsTable[[#This Row],[pi_email]]))</f>
        <v/>
      </c>
      <c r="P511" s="128" t="s">
        <v>13</v>
      </c>
      <c r="Q511" s="128">
        <v>1</v>
      </c>
      <c r="R511" s="128">
        <v>1</v>
      </c>
      <c r="S511" s="129">
        <v>0</v>
      </c>
      <c r="T511" s="129">
        <v>2500</v>
      </c>
      <c r="U511" s="129">
        <v>0</v>
      </c>
      <c r="V511" s="130">
        <v>113134</v>
      </c>
      <c r="W511" s="128">
        <v>0</v>
      </c>
      <c r="X511" s="128">
        <v>1</v>
      </c>
      <c r="Y511" s="131" t="str">
        <f ca="1">IF(ISBLANK(BudgetsTable[[#This Row],[budg_seq_yr]]),"FY"&amp;fiscalyear,"FY"&amp;fiscalyear-1+BudgetsTable[[#This Row],[budg_seq_yr]])</f>
        <v>FY18</v>
      </c>
      <c r="Z511" s="129">
        <v>113134</v>
      </c>
      <c r="AA511" s="128" t="s">
        <v>741</v>
      </c>
      <c r="AB511" s="128" t="s">
        <v>528</v>
      </c>
      <c r="AC511" s="126" t="s">
        <v>94</v>
      </c>
      <c r="AD511" s="128" t="s">
        <v>751</v>
      </c>
    </row>
    <row r="512" spans="1:30">
      <c r="A512" s="125" t="s">
        <v>666</v>
      </c>
      <c r="B512" s="126" t="s">
        <v>96</v>
      </c>
      <c r="C512" s="126">
        <f>C511+(BudgetsTable[[#This Row],[lead]]&lt;&gt;K511)</f>
        <v>100</v>
      </c>
      <c r="D512" s="126">
        <f>D511*(BudgetsTable[[#This Row],[lead]]=K511)+(BudgetsTable[[#This Row],[prop_id]]&lt;&gt;A511)</f>
        <v>1</v>
      </c>
      <c r="E512" s="127">
        <v>42935.633333333331</v>
      </c>
      <c r="F512" s="128" t="s">
        <v>242</v>
      </c>
      <c r="G512" s="128" t="s">
        <v>741</v>
      </c>
      <c r="H512" s="128" t="s">
        <v>528</v>
      </c>
      <c r="I512" s="126" t="s">
        <v>540</v>
      </c>
      <c r="J512" s="126" t="s">
        <v>13</v>
      </c>
      <c r="K512" s="128" t="s">
        <v>666</v>
      </c>
      <c r="L512" s="7" t="str">
        <f>IF(BudgetsTable[[#This Row],[pi_last_name]]=" ","",HYPERLINK("https://www.ejacket.nsf.gov/ej/showProposal.do?Continue=Y&amp;ID="&amp;BudgetsTable[[#This Row],[prop_id]],BudgetsTable[[#This Row],[prop_id]]))</f>
        <v/>
      </c>
      <c r="M512" s="15" t="str">
        <f>IF(BudgetsTable[[#This Row],[pi_last_name]]=" ","",HYPERLINK("https://www.ejacket.nsf.gov/ej/processReviewAnalysis.do?dispatch=add&amp;uniqId="&amp;BudgetsTable[[#This Row],[prop_id]]&amp;PO_id,"&gt;ra"))</f>
        <v/>
      </c>
      <c r="N512" s="128" t="s">
        <v>13</v>
      </c>
      <c r="O512" s="7" t="str">
        <f>IF(BudgetsTable[[#This Row],[pi_last_name]]=" ","",HYPERLINK("mailto:"&amp;BudgetsTable[[#This Row],[pi_email]]&amp;"&amp;subject=Your NSF Proposal:  "&amp;BudgetsTable[[#This Row],[prop_id]],BudgetsTable[[#This Row],[pi_email]]))</f>
        <v/>
      </c>
      <c r="P512" s="128" t="s">
        <v>13</v>
      </c>
      <c r="Q512" s="128">
        <v>1</v>
      </c>
      <c r="R512" s="128">
        <v>1</v>
      </c>
      <c r="S512" s="129">
        <v>0</v>
      </c>
      <c r="T512" s="129">
        <v>0</v>
      </c>
      <c r="U512" s="129">
        <v>0</v>
      </c>
      <c r="V512" s="130">
        <v>113214</v>
      </c>
      <c r="W512" s="128">
        <v>0</v>
      </c>
      <c r="X512" s="128">
        <v>2</v>
      </c>
      <c r="Y512" s="131" t="str">
        <f ca="1">IF(ISBLANK(BudgetsTable[[#This Row],[budg_seq_yr]]),"FY"&amp;fiscalyear,"FY"&amp;fiscalyear-1+BudgetsTable[[#This Row],[budg_seq_yr]])</f>
        <v>FY19</v>
      </c>
      <c r="Z512" s="129">
        <v>113214</v>
      </c>
      <c r="AA512" s="128" t="s">
        <v>741</v>
      </c>
      <c r="AB512" s="128" t="s">
        <v>528</v>
      </c>
      <c r="AC512" s="126" t="s">
        <v>94</v>
      </c>
      <c r="AD512" s="128" t="s">
        <v>751</v>
      </c>
    </row>
    <row r="513" spans="1:30">
      <c r="A513" s="125" t="s">
        <v>666</v>
      </c>
      <c r="B513" s="126" t="s">
        <v>96</v>
      </c>
      <c r="C513" s="126">
        <f>C512+(BudgetsTable[[#This Row],[lead]]&lt;&gt;K512)</f>
        <v>100</v>
      </c>
      <c r="D513" s="126">
        <f>D512*(BudgetsTable[[#This Row],[lead]]=K512)+(BudgetsTable[[#This Row],[prop_id]]&lt;&gt;A512)</f>
        <v>1</v>
      </c>
      <c r="E513" s="127">
        <v>42935.633333333331</v>
      </c>
      <c r="F513" s="128" t="s">
        <v>242</v>
      </c>
      <c r="G513" s="128" t="s">
        <v>741</v>
      </c>
      <c r="H513" s="128" t="s">
        <v>528</v>
      </c>
      <c r="I513" s="126" t="s">
        <v>540</v>
      </c>
      <c r="J513" s="126" t="s">
        <v>13</v>
      </c>
      <c r="K513" s="128" t="s">
        <v>666</v>
      </c>
      <c r="L513" s="7" t="str">
        <f>IF(BudgetsTable[[#This Row],[pi_last_name]]=" ","",HYPERLINK("https://www.ejacket.nsf.gov/ej/showProposal.do?Continue=Y&amp;ID="&amp;BudgetsTable[[#This Row],[prop_id]],BudgetsTable[[#This Row],[prop_id]]))</f>
        <v/>
      </c>
      <c r="M513" s="15" t="str">
        <f>IF(BudgetsTable[[#This Row],[pi_last_name]]=" ","",HYPERLINK("https://www.ejacket.nsf.gov/ej/processReviewAnalysis.do?dispatch=add&amp;uniqId="&amp;BudgetsTable[[#This Row],[prop_id]]&amp;PO_id,"&gt;ra"))</f>
        <v/>
      </c>
      <c r="N513" s="128" t="s">
        <v>13</v>
      </c>
      <c r="O513" s="7" t="str">
        <f>IF(BudgetsTable[[#This Row],[pi_last_name]]=" ","",HYPERLINK("mailto:"&amp;BudgetsTable[[#This Row],[pi_email]]&amp;"&amp;subject=Your NSF Proposal:  "&amp;BudgetsTable[[#This Row],[prop_id]],BudgetsTable[[#This Row],[pi_email]]))</f>
        <v/>
      </c>
      <c r="P513" s="128" t="s">
        <v>13</v>
      </c>
      <c r="Q513" s="128">
        <v>1</v>
      </c>
      <c r="R513" s="128">
        <v>1</v>
      </c>
      <c r="S513" s="129">
        <v>0</v>
      </c>
      <c r="T513" s="129">
        <v>2500</v>
      </c>
      <c r="U513" s="129">
        <v>0</v>
      </c>
      <c r="V513" s="130">
        <v>117310</v>
      </c>
      <c r="W513" s="128">
        <v>0</v>
      </c>
      <c r="X513" s="128">
        <v>3</v>
      </c>
      <c r="Y513" s="131" t="str">
        <f ca="1">IF(ISBLANK(BudgetsTable[[#This Row],[budg_seq_yr]]),"FY"&amp;fiscalyear,"FY"&amp;fiscalyear-1+BudgetsTable[[#This Row],[budg_seq_yr]])</f>
        <v>FY20</v>
      </c>
      <c r="Z513" s="129">
        <v>117310</v>
      </c>
      <c r="AA513" s="128" t="s">
        <v>741</v>
      </c>
      <c r="AB513" s="128" t="s">
        <v>528</v>
      </c>
      <c r="AC513" s="126" t="s">
        <v>94</v>
      </c>
      <c r="AD513" s="128" t="s">
        <v>751</v>
      </c>
    </row>
    <row r="514" spans="1:30">
      <c r="A514" s="125" t="s">
        <v>666</v>
      </c>
      <c r="B514" s="126" t="s">
        <v>96</v>
      </c>
      <c r="C514" s="126">
        <f>C513+(BudgetsTable[[#This Row],[lead]]&lt;&gt;K513)</f>
        <v>100</v>
      </c>
      <c r="D514" s="126">
        <f>D513*(BudgetsTable[[#This Row],[lead]]=K513)+(BudgetsTable[[#This Row],[prop_id]]&lt;&gt;A513)</f>
        <v>1</v>
      </c>
      <c r="E514" s="127">
        <v>42935.633333333331</v>
      </c>
      <c r="F514" s="128" t="s">
        <v>242</v>
      </c>
      <c r="G514" s="128" t="s">
        <v>741</v>
      </c>
      <c r="H514" s="128" t="s">
        <v>528</v>
      </c>
      <c r="I514" s="126" t="s">
        <v>540</v>
      </c>
      <c r="J514" s="126" t="s">
        <v>13</v>
      </c>
      <c r="K514" s="128" t="s">
        <v>666</v>
      </c>
      <c r="L514" s="7" t="str">
        <f>IF(BudgetsTable[[#This Row],[pi_last_name]]=" ","",HYPERLINK("https://www.ejacket.nsf.gov/ej/showProposal.do?Continue=Y&amp;ID="&amp;BudgetsTable[[#This Row],[prop_id]],BudgetsTable[[#This Row],[prop_id]]))</f>
        <v/>
      </c>
      <c r="M514" s="15" t="str">
        <f>IF(BudgetsTable[[#This Row],[pi_last_name]]=" ","",HYPERLINK("https://www.ejacket.nsf.gov/ej/processReviewAnalysis.do?dispatch=add&amp;uniqId="&amp;BudgetsTable[[#This Row],[prop_id]]&amp;PO_id,"&gt;ra"))</f>
        <v/>
      </c>
      <c r="N514" s="128" t="s">
        <v>13</v>
      </c>
      <c r="O514" s="7" t="str">
        <f>IF(BudgetsTable[[#This Row],[pi_last_name]]=" ","",HYPERLINK("mailto:"&amp;BudgetsTable[[#This Row],[pi_email]]&amp;"&amp;subject=Your NSF Proposal:  "&amp;BudgetsTable[[#This Row],[prop_id]],BudgetsTable[[#This Row],[pi_email]]))</f>
        <v/>
      </c>
      <c r="P514" s="128" t="s">
        <v>13</v>
      </c>
      <c r="Q514" s="128">
        <v>1</v>
      </c>
      <c r="R514" s="128">
        <v>1</v>
      </c>
      <c r="S514" s="129">
        <v>0</v>
      </c>
      <c r="T514" s="129">
        <v>0</v>
      </c>
      <c r="U514" s="129">
        <v>0</v>
      </c>
      <c r="V514" s="130">
        <v>117472</v>
      </c>
      <c r="W514" s="128">
        <v>0</v>
      </c>
      <c r="X514" s="128">
        <v>4</v>
      </c>
      <c r="Y514" s="131" t="str">
        <f ca="1">IF(ISBLANK(BudgetsTable[[#This Row],[budg_seq_yr]]),"FY"&amp;fiscalyear,"FY"&amp;fiscalyear-1+BudgetsTable[[#This Row],[budg_seq_yr]])</f>
        <v>FY21</v>
      </c>
      <c r="Z514" s="129">
        <v>117472</v>
      </c>
      <c r="AA514" s="128" t="s">
        <v>741</v>
      </c>
      <c r="AB514" s="128" t="s">
        <v>528</v>
      </c>
      <c r="AC514" s="126" t="s">
        <v>94</v>
      </c>
      <c r="AD514" s="128" t="s">
        <v>751</v>
      </c>
    </row>
    <row r="515" spans="1:30">
      <c r="A515" s="125" t="s">
        <v>666</v>
      </c>
      <c r="B515" s="126" t="s">
        <v>96</v>
      </c>
      <c r="C515" s="126">
        <f>C514+(BudgetsTable[[#This Row],[lead]]&lt;&gt;K514)</f>
        <v>100</v>
      </c>
      <c r="D515" s="126">
        <f>D514*(BudgetsTable[[#This Row],[lead]]=K514)+(BudgetsTable[[#This Row],[prop_id]]&lt;&gt;A514)</f>
        <v>1</v>
      </c>
      <c r="E515" s="127">
        <v>42935.633333333331</v>
      </c>
      <c r="F515" s="128" t="s">
        <v>242</v>
      </c>
      <c r="G515" s="128" t="s">
        <v>741</v>
      </c>
      <c r="H515" s="128" t="s">
        <v>528</v>
      </c>
      <c r="I515" s="126" t="s">
        <v>540</v>
      </c>
      <c r="J515" s="126" t="s">
        <v>13</v>
      </c>
      <c r="K515" s="128" t="s">
        <v>666</v>
      </c>
      <c r="L515" s="7" t="str">
        <f>IF(BudgetsTable[[#This Row],[pi_last_name]]=" ","",HYPERLINK("https://www.ejacket.nsf.gov/ej/showProposal.do?Continue=Y&amp;ID="&amp;BudgetsTable[[#This Row],[prop_id]],BudgetsTable[[#This Row],[prop_id]]))</f>
        <v/>
      </c>
      <c r="M515" s="15" t="str">
        <f>IF(BudgetsTable[[#This Row],[pi_last_name]]=" ","",HYPERLINK("https://www.ejacket.nsf.gov/ej/processReviewAnalysis.do?dispatch=add&amp;uniqId="&amp;BudgetsTable[[#This Row],[prop_id]]&amp;PO_id,"&gt;ra"))</f>
        <v/>
      </c>
      <c r="N515" s="128" t="s">
        <v>13</v>
      </c>
      <c r="O515" s="7" t="str">
        <f>IF(BudgetsTable[[#This Row],[pi_last_name]]=" ","",HYPERLINK("mailto:"&amp;BudgetsTable[[#This Row],[pi_email]]&amp;"&amp;subject=Your NSF Proposal:  "&amp;BudgetsTable[[#This Row],[prop_id]],BudgetsTable[[#This Row],[pi_email]]))</f>
        <v/>
      </c>
      <c r="P515" s="128" t="s">
        <v>13</v>
      </c>
      <c r="Q515" s="128">
        <v>1</v>
      </c>
      <c r="R515" s="128">
        <v>1</v>
      </c>
      <c r="S515" s="129">
        <v>0</v>
      </c>
      <c r="T515" s="129">
        <v>2500</v>
      </c>
      <c r="U515" s="129">
        <v>0</v>
      </c>
      <c r="V515" s="130">
        <v>121655</v>
      </c>
      <c r="W515" s="128">
        <v>0</v>
      </c>
      <c r="X515" s="128">
        <v>5</v>
      </c>
      <c r="Y515" s="131" t="str">
        <f ca="1">IF(ISBLANK(BudgetsTable[[#This Row],[budg_seq_yr]]),"FY"&amp;fiscalyear,"FY"&amp;fiscalyear-1+BudgetsTable[[#This Row],[budg_seq_yr]])</f>
        <v>FY22</v>
      </c>
      <c r="Z515" s="129">
        <v>121655</v>
      </c>
      <c r="AA515" s="128" t="s">
        <v>741</v>
      </c>
      <c r="AB515" s="128" t="s">
        <v>528</v>
      </c>
      <c r="AC515" s="126" t="s">
        <v>94</v>
      </c>
      <c r="AD515" s="128" t="s">
        <v>751</v>
      </c>
    </row>
    <row r="516" spans="1:30">
      <c r="A516" s="125" t="s">
        <v>1740</v>
      </c>
      <c r="B516" s="126" t="s">
        <v>96</v>
      </c>
      <c r="C516" s="126">
        <f>C515+(BudgetsTable[[#This Row],[lead]]&lt;&gt;K515)</f>
        <v>101</v>
      </c>
      <c r="D516" s="126">
        <f>D515*(BudgetsTable[[#This Row],[lead]]=K515)+(BudgetsTable[[#This Row],[prop_id]]&lt;&gt;A515)</f>
        <v>1</v>
      </c>
      <c r="E516" s="127">
        <v>42935.638888888891</v>
      </c>
      <c r="F516" s="128" t="s">
        <v>242</v>
      </c>
      <c r="G516" s="128" t="s">
        <v>741</v>
      </c>
      <c r="H516" s="128" t="s">
        <v>528</v>
      </c>
      <c r="I516" s="126" t="s">
        <v>1530</v>
      </c>
      <c r="J516" s="126" t="s">
        <v>2432</v>
      </c>
      <c r="K516" s="128" t="s">
        <v>1740</v>
      </c>
      <c r="L516" s="7" t="str">
        <f>IF(BudgetsTable[[#This Row],[pi_last_name]]=" ","",HYPERLINK("https://www.ejacket.nsf.gov/ej/showProposal.do?Continue=Y&amp;ID="&amp;BudgetsTable[[#This Row],[prop_id]],BudgetsTable[[#This Row],[prop_id]]))</f>
        <v>1750808</v>
      </c>
      <c r="M516" s="15" t="str">
        <f>IF(BudgetsTable[[#This Row],[pi_last_name]]=" ","",HYPERLINK("https://www.ejacket.nsf.gov/ej/processReviewAnalysis.do?dispatch=add&amp;uniqId="&amp;BudgetsTable[[#This Row],[prop_id]]&amp;PO_id,"&gt;ra"))</f>
        <v>&gt;ra</v>
      </c>
      <c r="N516" s="128" t="s">
        <v>1741</v>
      </c>
      <c r="O516" s="7" t="str">
        <f>IF(BudgetsTable[[#This Row],[pi_last_name]]=" ","",HYPERLINK("mailto:"&amp;BudgetsTable[[#This Row],[pi_email]]&amp;"&amp;subject=Your NSF Proposal:  "&amp;BudgetsTable[[#This Row],[prop_id]],BudgetsTable[[#This Row],[pi_email]]))</f>
        <v>haeupler@cs.cmu.edu</v>
      </c>
      <c r="P516" s="128" t="s">
        <v>2127</v>
      </c>
      <c r="Q516" s="128"/>
      <c r="R516" s="128"/>
      <c r="S516" s="129"/>
      <c r="T516" s="129"/>
      <c r="U516" s="129"/>
      <c r="V516" s="130"/>
      <c r="W516" s="128">
        <v>0</v>
      </c>
      <c r="X516" s="128"/>
      <c r="Y516" s="131" t="str">
        <f ca="1">IF(ISBLANK(BudgetsTable[[#This Row],[budg_seq_yr]]),"FY"&amp;fiscalyear,"FY"&amp;fiscalyear-1+BudgetsTable[[#This Row],[budg_seq_yr]])</f>
        <v>FY18</v>
      </c>
      <c r="Z516" s="129">
        <v>613868</v>
      </c>
      <c r="AA516" s="128" t="s">
        <v>741</v>
      </c>
      <c r="AB516" s="128" t="s">
        <v>528</v>
      </c>
      <c r="AC516" s="126" t="s">
        <v>94</v>
      </c>
      <c r="AD516" s="128" t="s">
        <v>779</v>
      </c>
    </row>
    <row r="517" spans="1:30">
      <c r="A517" s="125" t="s">
        <v>1740</v>
      </c>
      <c r="B517" s="126" t="s">
        <v>96</v>
      </c>
      <c r="C517" s="126">
        <f>C516+(BudgetsTable[[#This Row],[lead]]&lt;&gt;K516)</f>
        <v>101</v>
      </c>
      <c r="D517" s="126">
        <f>D516*(BudgetsTable[[#This Row],[lead]]=K516)+(BudgetsTable[[#This Row],[prop_id]]&lt;&gt;A516)</f>
        <v>1</v>
      </c>
      <c r="E517" s="127">
        <v>42935.638888888891</v>
      </c>
      <c r="F517" s="128" t="s">
        <v>242</v>
      </c>
      <c r="G517" s="128" t="s">
        <v>741</v>
      </c>
      <c r="H517" s="128" t="s">
        <v>528</v>
      </c>
      <c r="I517" s="126" t="s">
        <v>1530</v>
      </c>
      <c r="J517" s="126" t="s">
        <v>13</v>
      </c>
      <c r="K517" s="128" t="s">
        <v>1740</v>
      </c>
      <c r="L517" s="7" t="str">
        <f>IF(BudgetsTable[[#This Row],[pi_last_name]]=" ","",HYPERLINK("https://www.ejacket.nsf.gov/ej/showProposal.do?Continue=Y&amp;ID="&amp;BudgetsTable[[#This Row],[prop_id]],BudgetsTable[[#This Row],[prop_id]]))</f>
        <v/>
      </c>
      <c r="M517" s="15" t="str">
        <f>IF(BudgetsTable[[#This Row],[pi_last_name]]=" ","",HYPERLINK("https://www.ejacket.nsf.gov/ej/processReviewAnalysis.do?dispatch=add&amp;uniqId="&amp;BudgetsTable[[#This Row],[prop_id]]&amp;PO_id,"&gt;ra"))</f>
        <v/>
      </c>
      <c r="N517" s="128" t="s">
        <v>13</v>
      </c>
      <c r="O517" s="7" t="str">
        <f>IF(BudgetsTable[[#This Row],[pi_last_name]]=" ","",HYPERLINK("mailto:"&amp;BudgetsTable[[#This Row],[pi_email]]&amp;"&amp;subject=Your NSF Proposal:  "&amp;BudgetsTable[[#This Row],[prop_id]],BudgetsTable[[#This Row],[pi_email]]))</f>
        <v/>
      </c>
      <c r="P517" s="128" t="s">
        <v>13</v>
      </c>
      <c r="Q517" s="128">
        <v>1</v>
      </c>
      <c r="R517" s="128">
        <v>0.25</v>
      </c>
      <c r="S517" s="129">
        <v>0</v>
      </c>
      <c r="T517" s="129">
        <v>0</v>
      </c>
      <c r="U517" s="129">
        <v>0</v>
      </c>
      <c r="V517" s="130">
        <v>115623</v>
      </c>
      <c r="W517" s="128">
        <v>0</v>
      </c>
      <c r="X517" s="128">
        <v>1</v>
      </c>
      <c r="Y517" s="131" t="str">
        <f ca="1">IF(ISBLANK(BudgetsTable[[#This Row],[budg_seq_yr]]),"FY"&amp;fiscalyear,"FY"&amp;fiscalyear-1+BudgetsTable[[#This Row],[budg_seq_yr]])</f>
        <v>FY18</v>
      </c>
      <c r="Z517" s="129">
        <v>115623</v>
      </c>
      <c r="AA517" s="128" t="s">
        <v>741</v>
      </c>
      <c r="AB517" s="128" t="s">
        <v>528</v>
      </c>
      <c r="AC517" s="126" t="s">
        <v>94</v>
      </c>
      <c r="AD517" s="128" t="s">
        <v>779</v>
      </c>
    </row>
    <row r="518" spans="1:30">
      <c r="A518" s="125" t="s">
        <v>1740</v>
      </c>
      <c r="B518" s="126" t="s">
        <v>96</v>
      </c>
      <c r="C518" s="126">
        <f>C517+(BudgetsTable[[#This Row],[lead]]&lt;&gt;K517)</f>
        <v>101</v>
      </c>
      <c r="D518" s="126">
        <f>D517*(BudgetsTable[[#This Row],[lead]]=K517)+(BudgetsTable[[#This Row],[prop_id]]&lt;&gt;A517)</f>
        <v>1</v>
      </c>
      <c r="E518" s="127">
        <v>42935.638888888891</v>
      </c>
      <c r="F518" s="128" t="s">
        <v>242</v>
      </c>
      <c r="G518" s="128" t="s">
        <v>741</v>
      </c>
      <c r="H518" s="128" t="s">
        <v>528</v>
      </c>
      <c r="I518" s="126" t="s">
        <v>1530</v>
      </c>
      <c r="J518" s="126" t="s">
        <v>13</v>
      </c>
      <c r="K518" s="128" t="s">
        <v>1740</v>
      </c>
      <c r="L518" s="7" t="str">
        <f>IF(BudgetsTable[[#This Row],[pi_last_name]]=" ","",HYPERLINK("https://www.ejacket.nsf.gov/ej/showProposal.do?Continue=Y&amp;ID="&amp;BudgetsTable[[#This Row],[prop_id]],BudgetsTable[[#This Row],[prop_id]]))</f>
        <v/>
      </c>
      <c r="M518" s="15" t="str">
        <f>IF(BudgetsTable[[#This Row],[pi_last_name]]=" ","",HYPERLINK("https://www.ejacket.nsf.gov/ej/processReviewAnalysis.do?dispatch=add&amp;uniqId="&amp;BudgetsTable[[#This Row],[prop_id]]&amp;PO_id,"&gt;ra"))</f>
        <v/>
      </c>
      <c r="N518" s="128" t="s">
        <v>13</v>
      </c>
      <c r="O518" s="7" t="str">
        <f>IF(BudgetsTable[[#This Row],[pi_last_name]]=" ","",HYPERLINK("mailto:"&amp;BudgetsTable[[#This Row],[pi_email]]&amp;"&amp;subject=Your NSF Proposal:  "&amp;BudgetsTable[[#This Row],[prop_id]],BudgetsTable[[#This Row],[pi_email]]))</f>
        <v/>
      </c>
      <c r="P518" s="128" t="s">
        <v>13</v>
      </c>
      <c r="Q518" s="128">
        <v>1</v>
      </c>
      <c r="R518" s="128">
        <v>0.25</v>
      </c>
      <c r="S518" s="129">
        <v>0</v>
      </c>
      <c r="T518" s="129">
        <v>0</v>
      </c>
      <c r="U518" s="129">
        <v>0</v>
      </c>
      <c r="V518" s="130">
        <v>119088</v>
      </c>
      <c r="W518" s="128">
        <v>0</v>
      </c>
      <c r="X518" s="128">
        <v>2</v>
      </c>
      <c r="Y518" s="131" t="str">
        <f ca="1">IF(ISBLANK(BudgetsTable[[#This Row],[budg_seq_yr]]),"FY"&amp;fiscalyear,"FY"&amp;fiscalyear-1+BudgetsTable[[#This Row],[budg_seq_yr]])</f>
        <v>FY19</v>
      </c>
      <c r="Z518" s="129">
        <v>119088</v>
      </c>
      <c r="AA518" s="128" t="s">
        <v>741</v>
      </c>
      <c r="AB518" s="128" t="s">
        <v>528</v>
      </c>
      <c r="AC518" s="126" t="s">
        <v>94</v>
      </c>
      <c r="AD518" s="128" t="s">
        <v>779</v>
      </c>
    </row>
    <row r="519" spans="1:30">
      <c r="A519" s="125" t="s">
        <v>1740</v>
      </c>
      <c r="B519" s="126" t="s">
        <v>96</v>
      </c>
      <c r="C519" s="126">
        <f>C518+(BudgetsTable[[#This Row],[lead]]&lt;&gt;K518)</f>
        <v>101</v>
      </c>
      <c r="D519" s="126">
        <f>D518*(BudgetsTable[[#This Row],[lead]]=K518)+(BudgetsTable[[#This Row],[prop_id]]&lt;&gt;A518)</f>
        <v>1</v>
      </c>
      <c r="E519" s="127">
        <v>42935.638888888891</v>
      </c>
      <c r="F519" s="128" t="s">
        <v>242</v>
      </c>
      <c r="G519" s="128" t="s">
        <v>741</v>
      </c>
      <c r="H519" s="128" t="s">
        <v>528</v>
      </c>
      <c r="I519" s="126" t="s">
        <v>1530</v>
      </c>
      <c r="J519" s="126" t="s">
        <v>13</v>
      </c>
      <c r="K519" s="128" t="s">
        <v>1740</v>
      </c>
      <c r="L519" s="7" t="str">
        <f>IF(BudgetsTable[[#This Row],[pi_last_name]]=" ","",HYPERLINK("https://www.ejacket.nsf.gov/ej/showProposal.do?Continue=Y&amp;ID="&amp;BudgetsTable[[#This Row],[prop_id]],BudgetsTable[[#This Row],[prop_id]]))</f>
        <v/>
      </c>
      <c r="M519" s="15" t="str">
        <f>IF(BudgetsTable[[#This Row],[pi_last_name]]=" ","",HYPERLINK("https://www.ejacket.nsf.gov/ej/processReviewAnalysis.do?dispatch=add&amp;uniqId="&amp;BudgetsTable[[#This Row],[prop_id]]&amp;PO_id,"&gt;ra"))</f>
        <v/>
      </c>
      <c r="N519" s="128" t="s">
        <v>13</v>
      </c>
      <c r="O519" s="7" t="str">
        <f>IF(BudgetsTable[[#This Row],[pi_last_name]]=" ","",HYPERLINK("mailto:"&amp;BudgetsTable[[#This Row],[pi_email]]&amp;"&amp;subject=Your NSF Proposal:  "&amp;BudgetsTable[[#This Row],[prop_id]],BudgetsTable[[#This Row],[pi_email]]))</f>
        <v/>
      </c>
      <c r="P519" s="128" t="s">
        <v>13</v>
      </c>
      <c r="Q519" s="128">
        <v>1</v>
      </c>
      <c r="R519" s="128">
        <v>0.25</v>
      </c>
      <c r="S519" s="129">
        <v>0</v>
      </c>
      <c r="T519" s="129">
        <v>0</v>
      </c>
      <c r="U519" s="129">
        <v>0</v>
      </c>
      <c r="V519" s="130">
        <v>122665</v>
      </c>
      <c r="W519" s="128">
        <v>0</v>
      </c>
      <c r="X519" s="128">
        <v>3</v>
      </c>
      <c r="Y519" s="131" t="str">
        <f ca="1">IF(ISBLANK(BudgetsTable[[#This Row],[budg_seq_yr]]),"FY"&amp;fiscalyear,"FY"&amp;fiscalyear-1+BudgetsTable[[#This Row],[budg_seq_yr]])</f>
        <v>FY20</v>
      </c>
      <c r="Z519" s="129">
        <v>122665</v>
      </c>
      <c r="AA519" s="128" t="s">
        <v>741</v>
      </c>
      <c r="AB519" s="128" t="s">
        <v>528</v>
      </c>
      <c r="AC519" s="126" t="s">
        <v>94</v>
      </c>
      <c r="AD519" s="128" t="s">
        <v>779</v>
      </c>
    </row>
    <row r="520" spans="1:30">
      <c r="A520" s="125" t="s">
        <v>1740</v>
      </c>
      <c r="B520" s="126" t="s">
        <v>96</v>
      </c>
      <c r="C520" s="126">
        <f>C519+(BudgetsTable[[#This Row],[lead]]&lt;&gt;K519)</f>
        <v>101</v>
      </c>
      <c r="D520" s="126">
        <f>D519*(BudgetsTable[[#This Row],[lead]]=K519)+(BudgetsTable[[#This Row],[prop_id]]&lt;&gt;A519)</f>
        <v>1</v>
      </c>
      <c r="E520" s="127">
        <v>42935.638888888891</v>
      </c>
      <c r="F520" s="128" t="s">
        <v>242</v>
      </c>
      <c r="G520" s="128" t="s">
        <v>741</v>
      </c>
      <c r="H520" s="128" t="s">
        <v>528</v>
      </c>
      <c r="I520" s="126" t="s">
        <v>1530</v>
      </c>
      <c r="J520" s="126" t="s">
        <v>13</v>
      </c>
      <c r="K520" s="128" t="s">
        <v>1740</v>
      </c>
      <c r="L520" s="7" t="str">
        <f>IF(BudgetsTable[[#This Row],[pi_last_name]]=" ","",HYPERLINK("https://www.ejacket.nsf.gov/ej/showProposal.do?Continue=Y&amp;ID="&amp;BudgetsTable[[#This Row],[prop_id]],BudgetsTable[[#This Row],[prop_id]]))</f>
        <v/>
      </c>
      <c r="M520" s="15" t="str">
        <f>IF(BudgetsTable[[#This Row],[pi_last_name]]=" ","",HYPERLINK("https://www.ejacket.nsf.gov/ej/processReviewAnalysis.do?dispatch=add&amp;uniqId="&amp;BudgetsTable[[#This Row],[prop_id]]&amp;PO_id,"&gt;ra"))</f>
        <v/>
      </c>
      <c r="N520" s="128" t="s">
        <v>13</v>
      </c>
      <c r="O520" s="7" t="str">
        <f>IF(BudgetsTable[[#This Row],[pi_last_name]]=" ","",HYPERLINK("mailto:"&amp;BudgetsTable[[#This Row],[pi_email]]&amp;"&amp;subject=Your NSF Proposal:  "&amp;BudgetsTable[[#This Row],[prop_id]],BudgetsTable[[#This Row],[pi_email]]))</f>
        <v/>
      </c>
      <c r="P520" s="128" t="s">
        <v>13</v>
      </c>
      <c r="Q520" s="128">
        <v>1</v>
      </c>
      <c r="R520" s="128">
        <v>0.25</v>
      </c>
      <c r="S520" s="129">
        <v>0</v>
      </c>
      <c r="T520" s="129">
        <v>0</v>
      </c>
      <c r="U520" s="129">
        <v>0</v>
      </c>
      <c r="V520" s="130">
        <v>126351</v>
      </c>
      <c r="W520" s="128">
        <v>0</v>
      </c>
      <c r="X520" s="128">
        <v>4</v>
      </c>
      <c r="Y520" s="131" t="str">
        <f ca="1">IF(ISBLANK(BudgetsTable[[#This Row],[budg_seq_yr]]),"FY"&amp;fiscalyear,"FY"&amp;fiscalyear-1+BudgetsTable[[#This Row],[budg_seq_yr]])</f>
        <v>FY21</v>
      </c>
      <c r="Z520" s="129">
        <v>126351</v>
      </c>
      <c r="AA520" s="128" t="s">
        <v>741</v>
      </c>
      <c r="AB520" s="128" t="s">
        <v>528</v>
      </c>
      <c r="AC520" s="126" t="s">
        <v>94</v>
      </c>
      <c r="AD520" s="128" t="s">
        <v>779</v>
      </c>
    </row>
    <row r="521" spans="1:30">
      <c r="A521" s="125" t="s">
        <v>1740</v>
      </c>
      <c r="B521" s="126" t="s">
        <v>96</v>
      </c>
      <c r="C521" s="126">
        <f>C520+(BudgetsTable[[#This Row],[lead]]&lt;&gt;K520)</f>
        <v>101</v>
      </c>
      <c r="D521" s="126">
        <f>D520*(BudgetsTable[[#This Row],[lead]]=K520)+(BudgetsTable[[#This Row],[prop_id]]&lt;&gt;A520)</f>
        <v>1</v>
      </c>
      <c r="E521" s="127">
        <v>42935.638888888891</v>
      </c>
      <c r="F521" s="128" t="s">
        <v>242</v>
      </c>
      <c r="G521" s="128" t="s">
        <v>741</v>
      </c>
      <c r="H521" s="128" t="s">
        <v>528</v>
      </c>
      <c r="I521" s="126" t="s">
        <v>1530</v>
      </c>
      <c r="J521" s="126" t="s">
        <v>13</v>
      </c>
      <c r="K521" s="128" t="s">
        <v>1740</v>
      </c>
      <c r="L521" s="7" t="str">
        <f>IF(BudgetsTable[[#This Row],[pi_last_name]]=" ","",HYPERLINK("https://www.ejacket.nsf.gov/ej/showProposal.do?Continue=Y&amp;ID="&amp;BudgetsTable[[#This Row],[prop_id]],BudgetsTable[[#This Row],[prop_id]]))</f>
        <v/>
      </c>
      <c r="M521" s="15" t="str">
        <f>IF(BudgetsTable[[#This Row],[pi_last_name]]=" ","",HYPERLINK("https://www.ejacket.nsf.gov/ej/processReviewAnalysis.do?dispatch=add&amp;uniqId="&amp;BudgetsTable[[#This Row],[prop_id]]&amp;PO_id,"&gt;ra"))</f>
        <v/>
      </c>
      <c r="N521" s="128" t="s">
        <v>13</v>
      </c>
      <c r="O521" s="7" t="str">
        <f>IF(BudgetsTable[[#This Row],[pi_last_name]]=" ","",HYPERLINK("mailto:"&amp;BudgetsTable[[#This Row],[pi_email]]&amp;"&amp;subject=Your NSF Proposal:  "&amp;BudgetsTable[[#This Row],[prop_id]],BudgetsTable[[#This Row],[pi_email]]))</f>
        <v/>
      </c>
      <c r="P521" s="128" t="s">
        <v>13</v>
      </c>
      <c r="Q521" s="128">
        <v>1</v>
      </c>
      <c r="R521" s="128">
        <v>0.25</v>
      </c>
      <c r="S521" s="129">
        <v>0</v>
      </c>
      <c r="T521" s="129">
        <v>0</v>
      </c>
      <c r="U521" s="129">
        <v>0</v>
      </c>
      <c r="V521" s="130">
        <v>130141</v>
      </c>
      <c r="W521" s="128">
        <v>0</v>
      </c>
      <c r="X521" s="128">
        <v>5</v>
      </c>
      <c r="Y521" s="131" t="str">
        <f ca="1">IF(ISBLANK(BudgetsTable[[#This Row],[budg_seq_yr]]),"FY"&amp;fiscalyear,"FY"&amp;fiscalyear-1+BudgetsTable[[#This Row],[budg_seq_yr]])</f>
        <v>FY22</v>
      </c>
      <c r="Z521" s="129">
        <v>130141</v>
      </c>
      <c r="AA521" s="128" t="s">
        <v>741</v>
      </c>
      <c r="AB521" s="128" t="s">
        <v>528</v>
      </c>
      <c r="AC521" s="126" t="s">
        <v>94</v>
      </c>
      <c r="AD521" s="128" t="s">
        <v>779</v>
      </c>
    </row>
    <row r="522" spans="1:30">
      <c r="A522" s="125" t="s">
        <v>1753</v>
      </c>
      <c r="B522" s="126" t="s">
        <v>96</v>
      </c>
      <c r="C522" s="126">
        <f>C521+(BudgetsTable[[#This Row],[lead]]&lt;&gt;K521)</f>
        <v>102</v>
      </c>
      <c r="D522" s="126">
        <f>D521*(BudgetsTable[[#This Row],[lead]]=K521)+(BudgetsTable[[#This Row],[prop_id]]&lt;&gt;A521)</f>
        <v>1</v>
      </c>
      <c r="E522" s="127">
        <v>42935.654166666667</v>
      </c>
      <c r="F522" s="128" t="s">
        <v>242</v>
      </c>
      <c r="G522" s="128" t="s">
        <v>741</v>
      </c>
      <c r="H522" s="128" t="s">
        <v>528</v>
      </c>
      <c r="I522" s="126" t="s">
        <v>543</v>
      </c>
      <c r="J522" s="126" t="s">
        <v>2437</v>
      </c>
      <c r="K522" s="128" t="s">
        <v>1753</v>
      </c>
      <c r="L522" s="7" t="str">
        <f>IF(BudgetsTable[[#This Row],[pi_last_name]]=" ","",HYPERLINK("https://www.ejacket.nsf.gov/ej/showProposal.do?Continue=Y&amp;ID="&amp;BudgetsTable[[#This Row],[prop_id]],BudgetsTable[[#This Row],[prop_id]]))</f>
        <v>1750893</v>
      </c>
      <c r="M522" s="15" t="str">
        <f>IF(BudgetsTable[[#This Row],[pi_last_name]]=" ","",HYPERLINK("https://www.ejacket.nsf.gov/ej/processReviewAnalysis.do?dispatch=add&amp;uniqId="&amp;BudgetsTable[[#This Row],[prop_id]]&amp;PO_id,"&gt;ra"))</f>
        <v>&gt;ra</v>
      </c>
      <c r="N522" s="128" t="s">
        <v>1754</v>
      </c>
      <c r="O522" s="7" t="str">
        <f>IF(BudgetsTable[[#This Row],[pi_last_name]]=" ","",HYPERLINK("mailto:"&amp;BudgetsTable[[#This Row],[pi_email]]&amp;"&amp;subject=Your NSF Proposal:  "&amp;BudgetsTable[[#This Row],[prop_id]],BudgetsTable[[#This Row],[pi_email]]))</f>
        <v>nxie@cs.fiu.edu</v>
      </c>
      <c r="P522" s="128" t="s">
        <v>2434</v>
      </c>
      <c r="Q522" s="128"/>
      <c r="R522" s="128"/>
      <c r="S522" s="129"/>
      <c r="T522" s="129"/>
      <c r="U522" s="129"/>
      <c r="V522" s="130"/>
      <c r="W522" s="128">
        <v>0</v>
      </c>
      <c r="X522" s="128"/>
      <c r="Y522" s="131" t="str">
        <f ca="1">IF(ISBLANK(BudgetsTable[[#This Row],[budg_seq_yr]]),"FY"&amp;fiscalyear,"FY"&amp;fiscalyear-1+BudgetsTable[[#This Row],[budg_seq_yr]])</f>
        <v>FY18</v>
      </c>
      <c r="Z522" s="129">
        <v>520820</v>
      </c>
      <c r="AA522" s="128" t="s">
        <v>741</v>
      </c>
      <c r="AB522" s="128" t="s">
        <v>528</v>
      </c>
      <c r="AC522" s="126" t="s">
        <v>94</v>
      </c>
      <c r="AD522" s="128" t="s">
        <v>2365</v>
      </c>
    </row>
    <row r="523" spans="1:30">
      <c r="A523" s="125" t="s">
        <v>1753</v>
      </c>
      <c r="B523" s="126" t="s">
        <v>96</v>
      </c>
      <c r="C523" s="126">
        <f>C522+(BudgetsTable[[#This Row],[lead]]&lt;&gt;K522)</f>
        <v>102</v>
      </c>
      <c r="D523" s="126">
        <f>D522*(BudgetsTable[[#This Row],[lead]]=K522)+(BudgetsTable[[#This Row],[prop_id]]&lt;&gt;A522)</f>
        <v>1</v>
      </c>
      <c r="E523" s="127">
        <v>42935.654166666667</v>
      </c>
      <c r="F523" s="128" t="s">
        <v>242</v>
      </c>
      <c r="G523" s="128" t="s">
        <v>741</v>
      </c>
      <c r="H523" s="128" t="s">
        <v>528</v>
      </c>
      <c r="I523" s="126" t="s">
        <v>543</v>
      </c>
      <c r="J523" s="126" t="s">
        <v>13</v>
      </c>
      <c r="K523" s="128" t="s">
        <v>1753</v>
      </c>
      <c r="L523" s="7" t="str">
        <f>IF(BudgetsTable[[#This Row],[pi_last_name]]=" ","",HYPERLINK("https://www.ejacket.nsf.gov/ej/showProposal.do?Continue=Y&amp;ID="&amp;BudgetsTable[[#This Row],[prop_id]],BudgetsTable[[#This Row],[prop_id]]))</f>
        <v/>
      </c>
      <c r="M523" s="15" t="str">
        <f>IF(BudgetsTable[[#This Row],[pi_last_name]]=" ","",HYPERLINK("https://www.ejacket.nsf.gov/ej/processReviewAnalysis.do?dispatch=add&amp;uniqId="&amp;BudgetsTable[[#This Row],[prop_id]]&amp;PO_id,"&gt;ra"))</f>
        <v/>
      </c>
      <c r="N523" s="128" t="s">
        <v>13</v>
      </c>
      <c r="O523" s="7" t="str">
        <f>IF(BudgetsTable[[#This Row],[pi_last_name]]=" ","",HYPERLINK("mailto:"&amp;BudgetsTable[[#This Row],[pi_email]]&amp;"&amp;subject=Your NSF Proposal:  "&amp;BudgetsTable[[#This Row],[prop_id]],BudgetsTable[[#This Row],[pi_email]]))</f>
        <v/>
      </c>
      <c r="P523" s="128" t="s">
        <v>13</v>
      </c>
      <c r="Q523" s="128">
        <v>1</v>
      </c>
      <c r="R523" s="128">
        <v>1.5</v>
      </c>
      <c r="S523" s="129">
        <v>0</v>
      </c>
      <c r="T523" s="129">
        <v>3000</v>
      </c>
      <c r="U523" s="129">
        <v>0</v>
      </c>
      <c r="V523" s="130">
        <v>98632</v>
      </c>
      <c r="W523" s="128">
        <v>0</v>
      </c>
      <c r="X523" s="128">
        <v>1</v>
      </c>
      <c r="Y523" s="131" t="str">
        <f ca="1">IF(ISBLANK(BudgetsTable[[#This Row],[budg_seq_yr]]),"FY"&amp;fiscalyear,"FY"&amp;fiscalyear-1+BudgetsTable[[#This Row],[budg_seq_yr]])</f>
        <v>FY18</v>
      </c>
      <c r="Z523" s="129">
        <v>98632</v>
      </c>
      <c r="AA523" s="128" t="s">
        <v>741</v>
      </c>
      <c r="AB523" s="128" t="s">
        <v>528</v>
      </c>
      <c r="AC523" s="126" t="s">
        <v>94</v>
      </c>
      <c r="AD523" s="128" t="s">
        <v>2365</v>
      </c>
    </row>
    <row r="524" spans="1:30">
      <c r="A524" s="125" t="s">
        <v>1753</v>
      </c>
      <c r="B524" s="126" t="s">
        <v>96</v>
      </c>
      <c r="C524" s="126">
        <f>C523+(BudgetsTable[[#This Row],[lead]]&lt;&gt;K523)</f>
        <v>102</v>
      </c>
      <c r="D524" s="126">
        <f>D523*(BudgetsTable[[#This Row],[lead]]=K523)+(BudgetsTable[[#This Row],[prop_id]]&lt;&gt;A523)</f>
        <v>1</v>
      </c>
      <c r="E524" s="127">
        <v>42935.654166666667</v>
      </c>
      <c r="F524" s="128" t="s">
        <v>242</v>
      </c>
      <c r="G524" s="128" t="s">
        <v>741</v>
      </c>
      <c r="H524" s="128" t="s">
        <v>528</v>
      </c>
      <c r="I524" s="126" t="s">
        <v>543</v>
      </c>
      <c r="J524" s="126" t="s">
        <v>13</v>
      </c>
      <c r="K524" s="128" t="s">
        <v>1753</v>
      </c>
      <c r="L524" s="7" t="str">
        <f>IF(BudgetsTable[[#This Row],[pi_last_name]]=" ","",HYPERLINK("https://www.ejacket.nsf.gov/ej/showProposal.do?Continue=Y&amp;ID="&amp;BudgetsTable[[#This Row],[prop_id]],BudgetsTable[[#This Row],[prop_id]]))</f>
        <v/>
      </c>
      <c r="M524" s="15" t="str">
        <f>IF(BudgetsTable[[#This Row],[pi_last_name]]=" ","",HYPERLINK("https://www.ejacket.nsf.gov/ej/processReviewAnalysis.do?dispatch=add&amp;uniqId="&amp;BudgetsTable[[#This Row],[prop_id]]&amp;PO_id,"&gt;ra"))</f>
        <v/>
      </c>
      <c r="N524" s="128" t="s">
        <v>13</v>
      </c>
      <c r="O524" s="7" t="str">
        <f>IF(BudgetsTable[[#This Row],[pi_last_name]]=" ","",HYPERLINK("mailto:"&amp;BudgetsTable[[#This Row],[pi_email]]&amp;"&amp;subject=Your NSF Proposal:  "&amp;BudgetsTable[[#This Row],[prop_id]],BudgetsTable[[#This Row],[pi_email]]))</f>
        <v/>
      </c>
      <c r="P524" s="128" t="s">
        <v>13</v>
      </c>
      <c r="Q524" s="128">
        <v>1</v>
      </c>
      <c r="R524" s="128">
        <v>1.5</v>
      </c>
      <c r="S524" s="129">
        <v>0</v>
      </c>
      <c r="T524" s="129">
        <v>3000</v>
      </c>
      <c r="U524" s="129">
        <v>0</v>
      </c>
      <c r="V524" s="130">
        <v>101305</v>
      </c>
      <c r="W524" s="128">
        <v>0</v>
      </c>
      <c r="X524" s="128">
        <v>2</v>
      </c>
      <c r="Y524" s="131" t="str">
        <f ca="1">IF(ISBLANK(BudgetsTable[[#This Row],[budg_seq_yr]]),"FY"&amp;fiscalyear,"FY"&amp;fiscalyear-1+BudgetsTable[[#This Row],[budg_seq_yr]])</f>
        <v>FY19</v>
      </c>
      <c r="Z524" s="129">
        <v>101305</v>
      </c>
      <c r="AA524" s="128" t="s">
        <v>741</v>
      </c>
      <c r="AB524" s="128" t="s">
        <v>528</v>
      </c>
      <c r="AC524" s="126" t="s">
        <v>94</v>
      </c>
      <c r="AD524" s="128" t="s">
        <v>2365</v>
      </c>
    </row>
    <row r="525" spans="1:30">
      <c r="A525" s="125" t="s">
        <v>1753</v>
      </c>
      <c r="B525" s="126" t="s">
        <v>96</v>
      </c>
      <c r="C525" s="126">
        <f>C524+(BudgetsTable[[#This Row],[lead]]&lt;&gt;K524)</f>
        <v>102</v>
      </c>
      <c r="D525" s="126">
        <f>D524*(BudgetsTable[[#This Row],[lead]]=K524)+(BudgetsTable[[#This Row],[prop_id]]&lt;&gt;A524)</f>
        <v>1</v>
      </c>
      <c r="E525" s="127">
        <v>42935.654166666667</v>
      </c>
      <c r="F525" s="128" t="s">
        <v>242</v>
      </c>
      <c r="G525" s="128" t="s">
        <v>741</v>
      </c>
      <c r="H525" s="128" t="s">
        <v>528</v>
      </c>
      <c r="I525" s="126" t="s">
        <v>543</v>
      </c>
      <c r="J525" s="126" t="s">
        <v>13</v>
      </c>
      <c r="K525" s="128" t="s">
        <v>1753</v>
      </c>
      <c r="L525" s="7" t="str">
        <f>IF(BudgetsTable[[#This Row],[pi_last_name]]=" ","",HYPERLINK("https://www.ejacket.nsf.gov/ej/showProposal.do?Continue=Y&amp;ID="&amp;BudgetsTable[[#This Row],[prop_id]],BudgetsTable[[#This Row],[prop_id]]))</f>
        <v/>
      </c>
      <c r="M525" s="15" t="str">
        <f>IF(BudgetsTable[[#This Row],[pi_last_name]]=" ","",HYPERLINK("https://www.ejacket.nsf.gov/ej/processReviewAnalysis.do?dispatch=add&amp;uniqId="&amp;BudgetsTable[[#This Row],[prop_id]]&amp;PO_id,"&gt;ra"))</f>
        <v/>
      </c>
      <c r="N525" s="128" t="s">
        <v>13</v>
      </c>
      <c r="O525" s="7" t="str">
        <f>IF(BudgetsTable[[#This Row],[pi_last_name]]=" ","",HYPERLINK("mailto:"&amp;BudgetsTable[[#This Row],[pi_email]]&amp;"&amp;subject=Your NSF Proposal:  "&amp;BudgetsTable[[#This Row],[prop_id]],BudgetsTable[[#This Row],[pi_email]]))</f>
        <v/>
      </c>
      <c r="P525" s="128" t="s">
        <v>13</v>
      </c>
      <c r="Q525" s="128">
        <v>1</v>
      </c>
      <c r="R525" s="128">
        <v>1.5</v>
      </c>
      <c r="S525" s="129">
        <v>0</v>
      </c>
      <c r="T525" s="129">
        <v>3000</v>
      </c>
      <c r="U525" s="129">
        <v>0</v>
      </c>
      <c r="V525" s="130">
        <v>104071</v>
      </c>
      <c r="W525" s="128">
        <v>0</v>
      </c>
      <c r="X525" s="128">
        <v>3</v>
      </c>
      <c r="Y525" s="131" t="str">
        <f ca="1">IF(ISBLANK(BudgetsTable[[#This Row],[budg_seq_yr]]),"FY"&amp;fiscalyear,"FY"&amp;fiscalyear-1+BudgetsTable[[#This Row],[budg_seq_yr]])</f>
        <v>FY20</v>
      </c>
      <c r="Z525" s="129">
        <v>104071</v>
      </c>
      <c r="AA525" s="128" t="s">
        <v>741</v>
      </c>
      <c r="AB525" s="128" t="s">
        <v>528</v>
      </c>
      <c r="AC525" s="126" t="s">
        <v>94</v>
      </c>
      <c r="AD525" s="128" t="s">
        <v>2365</v>
      </c>
    </row>
    <row r="526" spans="1:30">
      <c r="A526" s="125" t="s">
        <v>1753</v>
      </c>
      <c r="B526" s="126" t="s">
        <v>96</v>
      </c>
      <c r="C526" s="126">
        <f>C525+(BudgetsTable[[#This Row],[lead]]&lt;&gt;K525)</f>
        <v>102</v>
      </c>
      <c r="D526" s="126">
        <f>D525*(BudgetsTable[[#This Row],[lead]]=K525)+(BudgetsTable[[#This Row],[prop_id]]&lt;&gt;A525)</f>
        <v>1</v>
      </c>
      <c r="E526" s="127">
        <v>42935.654166666667</v>
      </c>
      <c r="F526" s="128" t="s">
        <v>242</v>
      </c>
      <c r="G526" s="128" t="s">
        <v>741</v>
      </c>
      <c r="H526" s="128" t="s">
        <v>528</v>
      </c>
      <c r="I526" s="126" t="s">
        <v>543</v>
      </c>
      <c r="J526" s="126" t="s">
        <v>13</v>
      </c>
      <c r="K526" s="128" t="s">
        <v>1753</v>
      </c>
      <c r="L526" s="7" t="str">
        <f>IF(BudgetsTable[[#This Row],[pi_last_name]]=" ","",HYPERLINK("https://www.ejacket.nsf.gov/ej/showProposal.do?Continue=Y&amp;ID="&amp;BudgetsTable[[#This Row],[prop_id]],BudgetsTable[[#This Row],[prop_id]]))</f>
        <v/>
      </c>
      <c r="M526" s="15" t="str">
        <f>IF(BudgetsTable[[#This Row],[pi_last_name]]=" ","",HYPERLINK("https://www.ejacket.nsf.gov/ej/processReviewAnalysis.do?dispatch=add&amp;uniqId="&amp;BudgetsTable[[#This Row],[prop_id]]&amp;PO_id,"&gt;ra"))</f>
        <v/>
      </c>
      <c r="N526" s="128" t="s">
        <v>13</v>
      </c>
      <c r="O526" s="7" t="str">
        <f>IF(BudgetsTable[[#This Row],[pi_last_name]]=" ","",HYPERLINK("mailto:"&amp;BudgetsTable[[#This Row],[pi_email]]&amp;"&amp;subject=Your NSF Proposal:  "&amp;BudgetsTable[[#This Row],[prop_id]],BudgetsTable[[#This Row],[pi_email]]))</f>
        <v/>
      </c>
      <c r="P526" s="128" t="s">
        <v>13</v>
      </c>
      <c r="Q526" s="128">
        <v>1</v>
      </c>
      <c r="R526" s="128">
        <v>1.5</v>
      </c>
      <c r="S526" s="129">
        <v>0</v>
      </c>
      <c r="T526" s="129">
        <v>3000</v>
      </c>
      <c r="U526" s="129">
        <v>0</v>
      </c>
      <c r="V526" s="130">
        <v>106929</v>
      </c>
      <c r="W526" s="128">
        <v>0</v>
      </c>
      <c r="X526" s="128">
        <v>4</v>
      </c>
      <c r="Y526" s="131" t="str">
        <f ca="1">IF(ISBLANK(BudgetsTable[[#This Row],[budg_seq_yr]]),"FY"&amp;fiscalyear,"FY"&amp;fiscalyear-1+BudgetsTable[[#This Row],[budg_seq_yr]])</f>
        <v>FY21</v>
      </c>
      <c r="Z526" s="129">
        <v>106929</v>
      </c>
      <c r="AA526" s="128" t="s">
        <v>741</v>
      </c>
      <c r="AB526" s="128" t="s">
        <v>528</v>
      </c>
      <c r="AC526" s="126" t="s">
        <v>94</v>
      </c>
      <c r="AD526" s="128" t="s">
        <v>2365</v>
      </c>
    </row>
    <row r="527" spans="1:30">
      <c r="A527" s="125" t="s">
        <v>1753</v>
      </c>
      <c r="B527" s="126" t="s">
        <v>96</v>
      </c>
      <c r="C527" s="126">
        <f>C526+(BudgetsTable[[#This Row],[lead]]&lt;&gt;K526)</f>
        <v>102</v>
      </c>
      <c r="D527" s="126">
        <f>D526*(BudgetsTable[[#This Row],[lead]]=K526)+(BudgetsTable[[#This Row],[prop_id]]&lt;&gt;A526)</f>
        <v>1</v>
      </c>
      <c r="E527" s="127">
        <v>42935.654166666667</v>
      </c>
      <c r="F527" s="128" t="s">
        <v>242</v>
      </c>
      <c r="G527" s="128" t="s">
        <v>741</v>
      </c>
      <c r="H527" s="128" t="s">
        <v>528</v>
      </c>
      <c r="I527" s="126" t="s">
        <v>543</v>
      </c>
      <c r="J527" s="126" t="s">
        <v>13</v>
      </c>
      <c r="K527" s="128" t="s">
        <v>1753</v>
      </c>
      <c r="L527" s="7" t="str">
        <f>IF(BudgetsTable[[#This Row],[pi_last_name]]=" ","",HYPERLINK("https://www.ejacket.nsf.gov/ej/showProposal.do?Continue=Y&amp;ID="&amp;BudgetsTable[[#This Row],[prop_id]],BudgetsTable[[#This Row],[prop_id]]))</f>
        <v/>
      </c>
      <c r="M527" s="15" t="str">
        <f>IF(BudgetsTable[[#This Row],[pi_last_name]]=" ","",HYPERLINK("https://www.ejacket.nsf.gov/ej/processReviewAnalysis.do?dispatch=add&amp;uniqId="&amp;BudgetsTable[[#This Row],[prop_id]]&amp;PO_id,"&gt;ra"))</f>
        <v/>
      </c>
      <c r="N527" s="128" t="s">
        <v>13</v>
      </c>
      <c r="O527" s="7" t="str">
        <f>IF(BudgetsTable[[#This Row],[pi_last_name]]=" ","",HYPERLINK("mailto:"&amp;BudgetsTable[[#This Row],[pi_email]]&amp;"&amp;subject=Your NSF Proposal:  "&amp;BudgetsTable[[#This Row],[prop_id]],BudgetsTable[[#This Row],[pi_email]]))</f>
        <v/>
      </c>
      <c r="P527" s="128" t="s">
        <v>13</v>
      </c>
      <c r="Q527" s="128">
        <v>1</v>
      </c>
      <c r="R527" s="128">
        <v>1.5</v>
      </c>
      <c r="S527" s="129">
        <v>0</v>
      </c>
      <c r="T527" s="129">
        <v>3000</v>
      </c>
      <c r="U527" s="129">
        <v>0</v>
      </c>
      <c r="V527" s="130">
        <v>109883</v>
      </c>
      <c r="W527" s="128">
        <v>0</v>
      </c>
      <c r="X527" s="128">
        <v>5</v>
      </c>
      <c r="Y527" s="131" t="str">
        <f ca="1">IF(ISBLANK(BudgetsTable[[#This Row],[budg_seq_yr]]),"FY"&amp;fiscalyear,"FY"&amp;fiscalyear-1+BudgetsTable[[#This Row],[budg_seq_yr]])</f>
        <v>FY22</v>
      </c>
      <c r="Z527" s="129">
        <v>109883</v>
      </c>
      <c r="AA527" s="128" t="s">
        <v>741</v>
      </c>
      <c r="AB527" s="128" t="s">
        <v>528</v>
      </c>
      <c r="AC527" s="126" t="s">
        <v>94</v>
      </c>
      <c r="AD527" s="128" t="s">
        <v>2365</v>
      </c>
    </row>
    <row r="528" spans="1:30">
      <c r="A528" s="125" t="s">
        <v>1764</v>
      </c>
      <c r="B528" s="126" t="s">
        <v>96</v>
      </c>
      <c r="C528" s="126">
        <f>C527+(BudgetsTable[[#This Row],[lead]]&lt;&gt;K527)</f>
        <v>103</v>
      </c>
      <c r="D528" s="126">
        <f>D527*(BudgetsTable[[#This Row],[lead]]=K527)+(BudgetsTable[[#This Row],[prop_id]]&lt;&gt;A527)</f>
        <v>1</v>
      </c>
      <c r="E528" s="127">
        <v>42935.679166666669</v>
      </c>
      <c r="F528" s="128" t="s">
        <v>242</v>
      </c>
      <c r="G528" s="128" t="s">
        <v>741</v>
      </c>
      <c r="H528" s="128" t="s">
        <v>528</v>
      </c>
      <c r="I528" s="126" t="s">
        <v>543</v>
      </c>
      <c r="J528" s="126" t="s">
        <v>2440</v>
      </c>
      <c r="K528" s="128" t="s">
        <v>1764</v>
      </c>
      <c r="L528" s="7" t="str">
        <f>IF(BudgetsTable[[#This Row],[pi_last_name]]=" ","",HYPERLINK("https://www.ejacket.nsf.gov/ej/showProposal.do?Continue=Y&amp;ID="&amp;BudgetsTable[[#This Row],[prop_id]],BudgetsTable[[#This Row],[prop_id]]))</f>
        <v>1751040</v>
      </c>
      <c r="M528" s="15" t="str">
        <f>IF(BudgetsTable[[#This Row],[pi_last_name]]=" ","",HYPERLINK("https://www.ejacket.nsf.gov/ej/processReviewAnalysis.do?dispatch=add&amp;uniqId="&amp;BudgetsTable[[#This Row],[prop_id]]&amp;PO_id,"&gt;ra"))</f>
        <v>&gt;ra</v>
      </c>
      <c r="N528" s="128" t="s">
        <v>1765</v>
      </c>
      <c r="O528" s="7" t="str">
        <f>IF(BudgetsTable[[#This Row],[pi_last_name]]=" ","",HYPERLINK("mailto:"&amp;BudgetsTable[[#This Row],[pi_email]]&amp;"&amp;subject=Your NSF Proposal:  "&amp;BudgetsTable[[#This Row],[prop_id]],BudgetsTable[[#This Row],[pi_email]]))</f>
        <v>ecprice@cs.utexas.edu</v>
      </c>
      <c r="P528" s="128" t="s">
        <v>799</v>
      </c>
      <c r="Q528" s="128"/>
      <c r="R528" s="128"/>
      <c r="S528" s="129"/>
      <c r="T528" s="129"/>
      <c r="U528" s="129"/>
      <c r="V528" s="130"/>
      <c r="W528" s="128">
        <v>0</v>
      </c>
      <c r="X528" s="128"/>
      <c r="Y528" s="131" t="str">
        <f ca="1">IF(ISBLANK(BudgetsTable[[#This Row],[budg_seq_yr]]),"FY"&amp;fiscalyear,"FY"&amp;fiscalyear-1+BudgetsTable[[#This Row],[budg_seq_yr]])</f>
        <v>FY18</v>
      </c>
      <c r="Z528" s="129">
        <v>499575</v>
      </c>
      <c r="AA528" s="128" t="s">
        <v>741</v>
      </c>
      <c r="AB528" s="128" t="s">
        <v>528</v>
      </c>
      <c r="AC528" s="126" t="s">
        <v>94</v>
      </c>
      <c r="AD528" s="128" t="s">
        <v>744</v>
      </c>
    </row>
    <row r="529" spans="1:30">
      <c r="A529" s="125" t="s">
        <v>1764</v>
      </c>
      <c r="B529" s="126" t="s">
        <v>96</v>
      </c>
      <c r="C529" s="126">
        <f>C528+(BudgetsTable[[#This Row],[lead]]&lt;&gt;K528)</f>
        <v>103</v>
      </c>
      <c r="D529" s="126">
        <f>D528*(BudgetsTable[[#This Row],[lead]]=K528)+(BudgetsTable[[#This Row],[prop_id]]&lt;&gt;A528)</f>
        <v>1</v>
      </c>
      <c r="E529" s="127">
        <v>42935.679166666669</v>
      </c>
      <c r="F529" s="128" t="s">
        <v>242</v>
      </c>
      <c r="G529" s="128" t="s">
        <v>741</v>
      </c>
      <c r="H529" s="128" t="s">
        <v>528</v>
      </c>
      <c r="I529" s="126" t="s">
        <v>543</v>
      </c>
      <c r="J529" s="126" t="s">
        <v>13</v>
      </c>
      <c r="K529" s="128" t="s">
        <v>1764</v>
      </c>
      <c r="L529" s="7" t="str">
        <f>IF(BudgetsTable[[#This Row],[pi_last_name]]=" ","",HYPERLINK("https://www.ejacket.nsf.gov/ej/showProposal.do?Continue=Y&amp;ID="&amp;BudgetsTable[[#This Row],[prop_id]],BudgetsTable[[#This Row],[prop_id]]))</f>
        <v/>
      </c>
      <c r="M529" s="15" t="str">
        <f>IF(BudgetsTable[[#This Row],[pi_last_name]]=" ","",HYPERLINK("https://www.ejacket.nsf.gov/ej/processReviewAnalysis.do?dispatch=add&amp;uniqId="&amp;BudgetsTable[[#This Row],[prop_id]]&amp;PO_id,"&gt;ra"))</f>
        <v/>
      </c>
      <c r="N529" s="128" t="s">
        <v>13</v>
      </c>
      <c r="O529" s="7" t="str">
        <f>IF(BudgetsTable[[#This Row],[pi_last_name]]=" ","",HYPERLINK("mailto:"&amp;BudgetsTable[[#This Row],[pi_email]]&amp;"&amp;subject=Your NSF Proposal:  "&amp;BudgetsTable[[#This Row],[prop_id]],BudgetsTable[[#This Row],[pi_email]]))</f>
        <v/>
      </c>
      <c r="P529" s="128" t="s">
        <v>13</v>
      </c>
      <c r="Q529" s="128">
        <v>1</v>
      </c>
      <c r="R529" s="128">
        <v>1</v>
      </c>
      <c r="S529" s="129">
        <v>0</v>
      </c>
      <c r="T529" s="129">
        <v>0</v>
      </c>
      <c r="U529" s="129">
        <v>0</v>
      </c>
      <c r="V529" s="130">
        <v>94979</v>
      </c>
      <c r="W529" s="128">
        <v>0</v>
      </c>
      <c r="X529" s="128">
        <v>1</v>
      </c>
      <c r="Y529" s="131" t="str">
        <f ca="1">IF(ISBLANK(BudgetsTable[[#This Row],[budg_seq_yr]]),"FY"&amp;fiscalyear,"FY"&amp;fiscalyear-1+BudgetsTable[[#This Row],[budg_seq_yr]])</f>
        <v>FY18</v>
      </c>
      <c r="Z529" s="129">
        <v>94979</v>
      </c>
      <c r="AA529" s="128" t="s">
        <v>741</v>
      </c>
      <c r="AB529" s="128" t="s">
        <v>528</v>
      </c>
      <c r="AC529" s="126" t="s">
        <v>94</v>
      </c>
      <c r="AD529" s="128" t="s">
        <v>744</v>
      </c>
    </row>
    <row r="530" spans="1:30">
      <c r="A530" s="125" t="s">
        <v>1764</v>
      </c>
      <c r="B530" s="126" t="s">
        <v>96</v>
      </c>
      <c r="C530" s="126">
        <f>C529+(BudgetsTable[[#This Row],[lead]]&lt;&gt;K529)</f>
        <v>103</v>
      </c>
      <c r="D530" s="126">
        <f>D529*(BudgetsTable[[#This Row],[lead]]=K529)+(BudgetsTable[[#This Row],[prop_id]]&lt;&gt;A529)</f>
        <v>1</v>
      </c>
      <c r="E530" s="127">
        <v>42935.679166666669</v>
      </c>
      <c r="F530" s="128" t="s">
        <v>242</v>
      </c>
      <c r="G530" s="128" t="s">
        <v>741</v>
      </c>
      <c r="H530" s="128" t="s">
        <v>528</v>
      </c>
      <c r="I530" s="126" t="s">
        <v>543</v>
      </c>
      <c r="J530" s="126" t="s">
        <v>13</v>
      </c>
      <c r="K530" s="128" t="s">
        <v>1764</v>
      </c>
      <c r="L530" s="7" t="str">
        <f>IF(BudgetsTable[[#This Row],[pi_last_name]]=" ","",HYPERLINK("https://www.ejacket.nsf.gov/ej/showProposal.do?Continue=Y&amp;ID="&amp;BudgetsTable[[#This Row],[prop_id]],BudgetsTable[[#This Row],[prop_id]]))</f>
        <v/>
      </c>
      <c r="M530" s="15" t="str">
        <f>IF(BudgetsTable[[#This Row],[pi_last_name]]=" ","",HYPERLINK("https://www.ejacket.nsf.gov/ej/processReviewAnalysis.do?dispatch=add&amp;uniqId="&amp;BudgetsTable[[#This Row],[prop_id]]&amp;PO_id,"&gt;ra"))</f>
        <v/>
      </c>
      <c r="N530" s="128" t="s">
        <v>13</v>
      </c>
      <c r="O530" s="7" t="str">
        <f>IF(BudgetsTable[[#This Row],[pi_last_name]]=" ","",HYPERLINK("mailto:"&amp;BudgetsTable[[#This Row],[pi_email]]&amp;"&amp;subject=Your NSF Proposal:  "&amp;BudgetsTable[[#This Row],[prop_id]],BudgetsTable[[#This Row],[pi_email]]))</f>
        <v/>
      </c>
      <c r="P530" s="128" t="s">
        <v>13</v>
      </c>
      <c r="Q530" s="128">
        <v>1</v>
      </c>
      <c r="R530" s="128">
        <v>1</v>
      </c>
      <c r="S530" s="129">
        <v>0</v>
      </c>
      <c r="T530" s="129">
        <v>0</v>
      </c>
      <c r="U530" s="129">
        <v>0</v>
      </c>
      <c r="V530" s="130">
        <v>97373</v>
      </c>
      <c r="W530" s="128">
        <v>0</v>
      </c>
      <c r="X530" s="128">
        <v>2</v>
      </c>
      <c r="Y530" s="131" t="str">
        <f ca="1">IF(ISBLANK(BudgetsTable[[#This Row],[budg_seq_yr]]),"FY"&amp;fiscalyear,"FY"&amp;fiscalyear-1+BudgetsTable[[#This Row],[budg_seq_yr]])</f>
        <v>FY19</v>
      </c>
      <c r="Z530" s="129">
        <v>97373</v>
      </c>
      <c r="AA530" s="128" t="s">
        <v>741</v>
      </c>
      <c r="AB530" s="128" t="s">
        <v>528</v>
      </c>
      <c r="AC530" s="126" t="s">
        <v>94</v>
      </c>
      <c r="AD530" s="128" t="s">
        <v>744</v>
      </c>
    </row>
    <row r="531" spans="1:30">
      <c r="A531" s="125" t="s">
        <v>1764</v>
      </c>
      <c r="B531" s="126" t="s">
        <v>96</v>
      </c>
      <c r="C531" s="126">
        <f>C530+(BudgetsTable[[#This Row],[lead]]&lt;&gt;K530)</f>
        <v>103</v>
      </c>
      <c r="D531" s="126">
        <f>D530*(BudgetsTable[[#This Row],[lead]]=K530)+(BudgetsTable[[#This Row],[prop_id]]&lt;&gt;A530)</f>
        <v>1</v>
      </c>
      <c r="E531" s="127">
        <v>42935.679166666669</v>
      </c>
      <c r="F531" s="128" t="s">
        <v>242</v>
      </c>
      <c r="G531" s="128" t="s">
        <v>741</v>
      </c>
      <c r="H531" s="128" t="s">
        <v>528</v>
      </c>
      <c r="I531" s="126" t="s">
        <v>543</v>
      </c>
      <c r="J531" s="126" t="s">
        <v>13</v>
      </c>
      <c r="K531" s="128" t="s">
        <v>1764</v>
      </c>
      <c r="L531" s="7" t="str">
        <f>IF(BudgetsTable[[#This Row],[pi_last_name]]=" ","",HYPERLINK("https://www.ejacket.nsf.gov/ej/showProposal.do?Continue=Y&amp;ID="&amp;BudgetsTable[[#This Row],[prop_id]],BudgetsTable[[#This Row],[prop_id]]))</f>
        <v/>
      </c>
      <c r="M531" s="15" t="str">
        <f>IF(BudgetsTable[[#This Row],[pi_last_name]]=" ","",HYPERLINK("https://www.ejacket.nsf.gov/ej/processReviewAnalysis.do?dispatch=add&amp;uniqId="&amp;BudgetsTable[[#This Row],[prop_id]]&amp;PO_id,"&gt;ra"))</f>
        <v/>
      </c>
      <c r="N531" s="128" t="s">
        <v>13</v>
      </c>
      <c r="O531" s="7" t="str">
        <f>IF(BudgetsTable[[#This Row],[pi_last_name]]=" ","",HYPERLINK("mailto:"&amp;BudgetsTable[[#This Row],[pi_email]]&amp;"&amp;subject=Your NSF Proposal:  "&amp;BudgetsTable[[#This Row],[prop_id]],BudgetsTable[[#This Row],[pi_email]]))</f>
        <v/>
      </c>
      <c r="P531" s="128" t="s">
        <v>13</v>
      </c>
      <c r="Q531" s="128">
        <v>1</v>
      </c>
      <c r="R531" s="128">
        <v>1</v>
      </c>
      <c r="S531" s="129">
        <v>0</v>
      </c>
      <c r="T531" s="129">
        <v>0</v>
      </c>
      <c r="U531" s="129">
        <v>0</v>
      </c>
      <c r="V531" s="130">
        <v>99840</v>
      </c>
      <c r="W531" s="128">
        <v>0</v>
      </c>
      <c r="X531" s="128">
        <v>3</v>
      </c>
      <c r="Y531" s="131" t="str">
        <f ca="1">IF(ISBLANK(BudgetsTable[[#This Row],[budg_seq_yr]]),"FY"&amp;fiscalyear,"FY"&amp;fiscalyear-1+BudgetsTable[[#This Row],[budg_seq_yr]])</f>
        <v>FY20</v>
      </c>
      <c r="Z531" s="129">
        <v>99840</v>
      </c>
      <c r="AA531" s="128" t="s">
        <v>741</v>
      </c>
      <c r="AB531" s="128" t="s">
        <v>528</v>
      </c>
      <c r="AC531" s="126" t="s">
        <v>94</v>
      </c>
      <c r="AD531" s="128" t="s">
        <v>744</v>
      </c>
    </row>
    <row r="532" spans="1:30">
      <c r="A532" s="125" t="s">
        <v>1764</v>
      </c>
      <c r="B532" s="126" t="s">
        <v>96</v>
      </c>
      <c r="C532" s="126">
        <f>C531+(BudgetsTable[[#This Row],[lead]]&lt;&gt;K531)</f>
        <v>103</v>
      </c>
      <c r="D532" s="126">
        <f>D531*(BudgetsTable[[#This Row],[lead]]=K531)+(BudgetsTable[[#This Row],[prop_id]]&lt;&gt;A531)</f>
        <v>1</v>
      </c>
      <c r="E532" s="127">
        <v>42935.679166666669</v>
      </c>
      <c r="F532" s="128" t="s">
        <v>242</v>
      </c>
      <c r="G532" s="128" t="s">
        <v>741</v>
      </c>
      <c r="H532" s="128" t="s">
        <v>528</v>
      </c>
      <c r="I532" s="126" t="s">
        <v>543</v>
      </c>
      <c r="J532" s="126" t="s">
        <v>13</v>
      </c>
      <c r="K532" s="128" t="s">
        <v>1764</v>
      </c>
      <c r="L532" s="7" t="str">
        <f>IF(BudgetsTable[[#This Row],[pi_last_name]]=" ","",HYPERLINK("https://www.ejacket.nsf.gov/ej/showProposal.do?Continue=Y&amp;ID="&amp;BudgetsTable[[#This Row],[prop_id]],BudgetsTable[[#This Row],[prop_id]]))</f>
        <v/>
      </c>
      <c r="M532" s="15" t="str">
        <f>IF(BudgetsTable[[#This Row],[pi_last_name]]=" ","",HYPERLINK("https://www.ejacket.nsf.gov/ej/processReviewAnalysis.do?dispatch=add&amp;uniqId="&amp;BudgetsTable[[#This Row],[prop_id]]&amp;PO_id,"&gt;ra"))</f>
        <v/>
      </c>
      <c r="N532" s="128" t="s">
        <v>13</v>
      </c>
      <c r="O532" s="7" t="str">
        <f>IF(BudgetsTable[[#This Row],[pi_last_name]]=" ","",HYPERLINK("mailto:"&amp;BudgetsTable[[#This Row],[pi_email]]&amp;"&amp;subject=Your NSF Proposal:  "&amp;BudgetsTable[[#This Row],[prop_id]],BudgetsTable[[#This Row],[pi_email]]))</f>
        <v/>
      </c>
      <c r="P532" s="128" t="s">
        <v>13</v>
      </c>
      <c r="Q532" s="128">
        <v>1</v>
      </c>
      <c r="R532" s="128">
        <v>1</v>
      </c>
      <c r="S532" s="129">
        <v>0</v>
      </c>
      <c r="T532" s="129">
        <v>0</v>
      </c>
      <c r="U532" s="129">
        <v>0</v>
      </c>
      <c r="V532" s="130">
        <v>102383</v>
      </c>
      <c r="W532" s="128">
        <v>0</v>
      </c>
      <c r="X532" s="128">
        <v>4</v>
      </c>
      <c r="Y532" s="131" t="str">
        <f ca="1">IF(ISBLANK(BudgetsTable[[#This Row],[budg_seq_yr]]),"FY"&amp;fiscalyear,"FY"&amp;fiscalyear-1+BudgetsTable[[#This Row],[budg_seq_yr]])</f>
        <v>FY21</v>
      </c>
      <c r="Z532" s="129">
        <v>102383</v>
      </c>
      <c r="AA532" s="128" t="s">
        <v>741</v>
      </c>
      <c r="AB532" s="128" t="s">
        <v>528</v>
      </c>
      <c r="AC532" s="126" t="s">
        <v>94</v>
      </c>
      <c r="AD532" s="128" t="s">
        <v>744</v>
      </c>
    </row>
    <row r="533" spans="1:30">
      <c r="A533" s="125" t="s">
        <v>1764</v>
      </c>
      <c r="B533" s="126" t="s">
        <v>96</v>
      </c>
      <c r="C533" s="126">
        <f>C532+(BudgetsTable[[#This Row],[lead]]&lt;&gt;K532)</f>
        <v>103</v>
      </c>
      <c r="D533" s="126">
        <f>D532*(BudgetsTable[[#This Row],[lead]]=K532)+(BudgetsTable[[#This Row],[prop_id]]&lt;&gt;A532)</f>
        <v>1</v>
      </c>
      <c r="E533" s="127">
        <v>42935.679166666669</v>
      </c>
      <c r="F533" s="128" t="s">
        <v>242</v>
      </c>
      <c r="G533" s="128" t="s">
        <v>741</v>
      </c>
      <c r="H533" s="128" t="s">
        <v>528</v>
      </c>
      <c r="I533" s="126" t="s">
        <v>543</v>
      </c>
      <c r="J533" s="126" t="s">
        <v>13</v>
      </c>
      <c r="K533" s="128" t="s">
        <v>1764</v>
      </c>
      <c r="L533" s="7" t="str">
        <f>IF(BudgetsTable[[#This Row],[pi_last_name]]=" ","",HYPERLINK("https://www.ejacket.nsf.gov/ej/showProposal.do?Continue=Y&amp;ID="&amp;BudgetsTable[[#This Row],[prop_id]],BudgetsTable[[#This Row],[prop_id]]))</f>
        <v/>
      </c>
      <c r="M533" s="15" t="str">
        <f>IF(BudgetsTable[[#This Row],[pi_last_name]]=" ","",HYPERLINK("https://www.ejacket.nsf.gov/ej/processReviewAnalysis.do?dispatch=add&amp;uniqId="&amp;BudgetsTable[[#This Row],[prop_id]]&amp;PO_id,"&gt;ra"))</f>
        <v/>
      </c>
      <c r="N533" s="128" t="s">
        <v>13</v>
      </c>
      <c r="O533" s="7" t="str">
        <f>IF(BudgetsTable[[#This Row],[pi_last_name]]=" ","",HYPERLINK("mailto:"&amp;BudgetsTable[[#This Row],[pi_email]]&amp;"&amp;subject=Your NSF Proposal:  "&amp;BudgetsTable[[#This Row],[prop_id]],BudgetsTable[[#This Row],[pi_email]]))</f>
        <v/>
      </c>
      <c r="P533" s="128" t="s">
        <v>13</v>
      </c>
      <c r="Q533" s="128">
        <v>1</v>
      </c>
      <c r="R533" s="128">
        <v>1</v>
      </c>
      <c r="S533" s="129">
        <v>0</v>
      </c>
      <c r="T533" s="129">
        <v>0</v>
      </c>
      <c r="U533" s="129">
        <v>0</v>
      </c>
      <c r="V533" s="130">
        <v>105000</v>
      </c>
      <c r="W533" s="128">
        <v>0</v>
      </c>
      <c r="X533" s="128">
        <v>5</v>
      </c>
      <c r="Y533" s="131" t="str">
        <f ca="1">IF(ISBLANK(BudgetsTable[[#This Row],[budg_seq_yr]]),"FY"&amp;fiscalyear,"FY"&amp;fiscalyear-1+BudgetsTable[[#This Row],[budg_seq_yr]])</f>
        <v>FY22</v>
      </c>
      <c r="Z533" s="129">
        <v>105000</v>
      </c>
      <c r="AA533" s="128" t="s">
        <v>741</v>
      </c>
      <c r="AB533" s="128" t="s">
        <v>528</v>
      </c>
      <c r="AC533" s="126" t="s">
        <v>94</v>
      </c>
      <c r="AD533" s="128" t="s">
        <v>744</v>
      </c>
    </row>
    <row r="534" spans="1:30">
      <c r="A534" s="125" t="s">
        <v>678</v>
      </c>
      <c r="B534" s="126" t="s">
        <v>96</v>
      </c>
      <c r="C534" s="126">
        <f>C533+(BudgetsTable[[#This Row],[lead]]&lt;&gt;K533)</f>
        <v>104</v>
      </c>
      <c r="D534" s="126">
        <f>D533*(BudgetsTable[[#This Row],[lead]]=K533)+(BudgetsTable[[#This Row],[prop_id]]&lt;&gt;A533)</f>
        <v>1</v>
      </c>
      <c r="E534" s="127">
        <v>42935.680555555555</v>
      </c>
      <c r="F534" s="128" t="s">
        <v>242</v>
      </c>
      <c r="G534" s="128" t="s">
        <v>741</v>
      </c>
      <c r="H534" s="128" t="s">
        <v>528</v>
      </c>
      <c r="I534" s="126" t="s">
        <v>540</v>
      </c>
      <c r="J534" s="126" t="s">
        <v>797</v>
      </c>
      <c r="K534" s="128" t="s">
        <v>678</v>
      </c>
      <c r="L534" s="7" t="str">
        <f>IF(BudgetsTable[[#This Row],[pi_last_name]]=" ","",HYPERLINK("https://www.ejacket.nsf.gov/ej/showProposal.do?Continue=Y&amp;ID="&amp;BudgetsTable[[#This Row],[prop_id]],BudgetsTable[[#This Row],[prop_id]]))</f>
        <v>1751047</v>
      </c>
      <c r="M534" s="15" t="str">
        <f>IF(BudgetsTable[[#This Row],[pi_last_name]]=" ","",HYPERLINK("https://www.ejacket.nsf.gov/ej/processReviewAnalysis.do?dispatch=add&amp;uniqId="&amp;BudgetsTable[[#This Row],[prop_id]]&amp;PO_id,"&gt;ra"))</f>
        <v>&gt;ra</v>
      </c>
      <c r="N534" s="128" t="s">
        <v>679</v>
      </c>
      <c r="O534" s="7" t="str">
        <f>IF(BudgetsTable[[#This Row],[pi_last_name]]=" ","",HYPERLINK("mailto:"&amp;BudgetsTable[[#This Row],[pi_email]]&amp;"&amp;subject=Your NSF Proposal:  "&amp;BudgetsTable[[#This Row],[prop_id]],BudgetsTable[[#This Row],[pi_email]]))</f>
        <v>MATTHEW.GIBSON@UTSA.EDU</v>
      </c>
      <c r="P534" s="128" t="s">
        <v>795</v>
      </c>
      <c r="Q534" s="128"/>
      <c r="R534" s="128"/>
      <c r="S534" s="129"/>
      <c r="T534" s="129"/>
      <c r="U534" s="129"/>
      <c r="V534" s="130"/>
      <c r="W534" s="128">
        <v>0</v>
      </c>
      <c r="X534" s="128"/>
      <c r="Y534" s="131" t="str">
        <f ca="1">IF(ISBLANK(BudgetsTable[[#This Row],[budg_seq_yr]]),"FY"&amp;fiscalyear,"FY"&amp;fiscalyear-1+BudgetsTable[[#This Row],[budg_seq_yr]])</f>
        <v>FY18</v>
      </c>
      <c r="Z534" s="129">
        <v>415497</v>
      </c>
      <c r="AA534" s="128" t="s">
        <v>741</v>
      </c>
      <c r="AB534" s="128" t="s">
        <v>528</v>
      </c>
      <c r="AC534" s="126" t="s">
        <v>94</v>
      </c>
      <c r="AD534" s="128" t="s">
        <v>751</v>
      </c>
    </row>
    <row r="535" spans="1:30">
      <c r="A535" s="125" t="s">
        <v>678</v>
      </c>
      <c r="B535" s="126" t="s">
        <v>96</v>
      </c>
      <c r="C535" s="126">
        <f>C534+(BudgetsTable[[#This Row],[lead]]&lt;&gt;K534)</f>
        <v>104</v>
      </c>
      <c r="D535" s="126">
        <f>D534*(BudgetsTable[[#This Row],[lead]]=K534)+(BudgetsTable[[#This Row],[prop_id]]&lt;&gt;A534)</f>
        <v>1</v>
      </c>
      <c r="E535" s="127">
        <v>42935.680555555555</v>
      </c>
      <c r="F535" s="128" t="s">
        <v>242</v>
      </c>
      <c r="G535" s="128" t="s">
        <v>741</v>
      </c>
      <c r="H535" s="128" t="s">
        <v>528</v>
      </c>
      <c r="I535" s="126" t="s">
        <v>540</v>
      </c>
      <c r="J535" s="126" t="s">
        <v>13</v>
      </c>
      <c r="K535" s="128" t="s">
        <v>678</v>
      </c>
      <c r="L535" s="7" t="str">
        <f>IF(BudgetsTable[[#This Row],[pi_last_name]]=" ","",HYPERLINK("https://www.ejacket.nsf.gov/ej/showProposal.do?Continue=Y&amp;ID="&amp;BudgetsTable[[#This Row],[prop_id]],BudgetsTable[[#This Row],[prop_id]]))</f>
        <v/>
      </c>
      <c r="M535" s="15" t="str">
        <f>IF(BudgetsTable[[#This Row],[pi_last_name]]=" ","",HYPERLINK("https://www.ejacket.nsf.gov/ej/processReviewAnalysis.do?dispatch=add&amp;uniqId="&amp;BudgetsTable[[#This Row],[prop_id]]&amp;PO_id,"&gt;ra"))</f>
        <v/>
      </c>
      <c r="N535" s="128" t="s">
        <v>13</v>
      </c>
      <c r="O535" s="7" t="str">
        <f>IF(BudgetsTable[[#This Row],[pi_last_name]]=" ","",HYPERLINK("mailto:"&amp;BudgetsTable[[#This Row],[pi_email]]&amp;"&amp;subject=Your NSF Proposal:  "&amp;BudgetsTable[[#This Row],[prop_id]],BudgetsTable[[#This Row],[pi_email]]))</f>
        <v/>
      </c>
      <c r="P535" s="128" t="s">
        <v>13</v>
      </c>
      <c r="Q535" s="128">
        <v>1</v>
      </c>
      <c r="R535" s="128">
        <v>1</v>
      </c>
      <c r="S535" s="129">
        <v>0</v>
      </c>
      <c r="T535" s="129">
        <v>2450</v>
      </c>
      <c r="U535" s="129">
        <v>16000</v>
      </c>
      <c r="V535" s="130">
        <v>92539</v>
      </c>
      <c r="W535" s="128">
        <v>0</v>
      </c>
      <c r="X535" s="128">
        <v>1</v>
      </c>
      <c r="Y535" s="131" t="str">
        <f ca="1">IF(ISBLANK(BudgetsTable[[#This Row],[budg_seq_yr]]),"FY"&amp;fiscalyear,"FY"&amp;fiscalyear-1+BudgetsTable[[#This Row],[budg_seq_yr]])</f>
        <v>FY18</v>
      </c>
      <c r="Z535" s="129">
        <v>92539</v>
      </c>
      <c r="AA535" s="128" t="s">
        <v>741</v>
      </c>
      <c r="AB535" s="128" t="s">
        <v>528</v>
      </c>
      <c r="AC535" s="126" t="s">
        <v>94</v>
      </c>
      <c r="AD535" s="128" t="s">
        <v>751</v>
      </c>
    </row>
    <row r="536" spans="1:30">
      <c r="A536" s="125" t="s">
        <v>678</v>
      </c>
      <c r="B536" s="126" t="s">
        <v>96</v>
      </c>
      <c r="C536" s="126">
        <f>C535+(BudgetsTable[[#This Row],[lead]]&lt;&gt;K535)</f>
        <v>104</v>
      </c>
      <c r="D536" s="126">
        <f>D535*(BudgetsTable[[#This Row],[lead]]=K535)+(BudgetsTable[[#This Row],[prop_id]]&lt;&gt;A535)</f>
        <v>1</v>
      </c>
      <c r="E536" s="127">
        <v>42935.680555555555</v>
      </c>
      <c r="F536" s="128" t="s">
        <v>242</v>
      </c>
      <c r="G536" s="128" t="s">
        <v>741</v>
      </c>
      <c r="H536" s="128" t="s">
        <v>528</v>
      </c>
      <c r="I536" s="126" t="s">
        <v>540</v>
      </c>
      <c r="J536" s="126" t="s">
        <v>13</v>
      </c>
      <c r="K536" s="128" t="s">
        <v>678</v>
      </c>
      <c r="L536" s="7" t="str">
        <f>IF(BudgetsTable[[#This Row],[pi_last_name]]=" ","",HYPERLINK("https://www.ejacket.nsf.gov/ej/showProposal.do?Continue=Y&amp;ID="&amp;BudgetsTable[[#This Row],[prop_id]],BudgetsTable[[#This Row],[prop_id]]))</f>
        <v/>
      </c>
      <c r="M536" s="15" t="str">
        <f>IF(BudgetsTable[[#This Row],[pi_last_name]]=" ","",HYPERLINK("https://www.ejacket.nsf.gov/ej/processReviewAnalysis.do?dispatch=add&amp;uniqId="&amp;BudgetsTable[[#This Row],[prop_id]]&amp;PO_id,"&gt;ra"))</f>
        <v/>
      </c>
      <c r="N536" s="128" t="s">
        <v>13</v>
      </c>
      <c r="O536" s="7" t="str">
        <f>IF(BudgetsTable[[#This Row],[pi_last_name]]=" ","",HYPERLINK("mailto:"&amp;BudgetsTable[[#This Row],[pi_email]]&amp;"&amp;subject=Your NSF Proposal:  "&amp;BudgetsTable[[#This Row],[prop_id]],BudgetsTable[[#This Row],[pi_email]]))</f>
        <v/>
      </c>
      <c r="P536" s="128" t="s">
        <v>13</v>
      </c>
      <c r="Q536" s="128">
        <v>1</v>
      </c>
      <c r="R536" s="128">
        <v>1</v>
      </c>
      <c r="S536" s="129">
        <v>0</v>
      </c>
      <c r="T536" s="129">
        <v>2450</v>
      </c>
      <c r="U536" s="129">
        <v>0</v>
      </c>
      <c r="V536" s="130">
        <v>78169</v>
      </c>
      <c r="W536" s="128">
        <v>0</v>
      </c>
      <c r="X536" s="128">
        <v>2</v>
      </c>
      <c r="Y536" s="131" t="str">
        <f ca="1">IF(ISBLANK(BudgetsTable[[#This Row],[budg_seq_yr]]),"FY"&amp;fiscalyear,"FY"&amp;fiscalyear-1+BudgetsTable[[#This Row],[budg_seq_yr]])</f>
        <v>FY19</v>
      </c>
      <c r="Z536" s="129">
        <v>78169</v>
      </c>
      <c r="AA536" s="128" t="s">
        <v>741</v>
      </c>
      <c r="AB536" s="128" t="s">
        <v>528</v>
      </c>
      <c r="AC536" s="126" t="s">
        <v>94</v>
      </c>
      <c r="AD536" s="128" t="s">
        <v>751</v>
      </c>
    </row>
    <row r="537" spans="1:30">
      <c r="A537" s="125" t="s">
        <v>678</v>
      </c>
      <c r="B537" s="126" t="s">
        <v>96</v>
      </c>
      <c r="C537" s="126">
        <f>C536+(BudgetsTable[[#This Row],[lead]]&lt;&gt;K536)</f>
        <v>104</v>
      </c>
      <c r="D537" s="126">
        <f>D536*(BudgetsTable[[#This Row],[lead]]=K536)+(BudgetsTable[[#This Row],[prop_id]]&lt;&gt;A536)</f>
        <v>1</v>
      </c>
      <c r="E537" s="127">
        <v>42935.680555555555</v>
      </c>
      <c r="F537" s="128" t="s">
        <v>242</v>
      </c>
      <c r="G537" s="128" t="s">
        <v>741</v>
      </c>
      <c r="H537" s="128" t="s">
        <v>528</v>
      </c>
      <c r="I537" s="126" t="s">
        <v>540</v>
      </c>
      <c r="J537" s="126" t="s">
        <v>13</v>
      </c>
      <c r="K537" s="128" t="s">
        <v>678</v>
      </c>
      <c r="L537" s="7" t="str">
        <f>IF(BudgetsTable[[#This Row],[pi_last_name]]=" ","",HYPERLINK("https://www.ejacket.nsf.gov/ej/showProposal.do?Continue=Y&amp;ID="&amp;BudgetsTable[[#This Row],[prop_id]],BudgetsTable[[#This Row],[prop_id]]))</f>
        <v/>
      </c>
      <c r="M537" s="15" t="str">
        <f>IF(BudgetsTable[[#This Row],[pi_last_name]]=" ","",HYPERLINK("https://www.ejacket.nsf.gov/ej/processReviewAnalysis.do?dispatch=add&amp;uniqId="&amp;BudgetsTable[[#This Row],[prop_id]]&amp;PO_id,"&gt;ra"))</f>
        <v/>
      </c>
      <c r="N537" s="128" t="s">
        <v>13</v>
      </c>
      <c r="O537" s="7" t="str">
        <f>IF(BudgetsTable[[#This Row],[pi_last_name]]=" ","",HYPERLINK("mailto:"&amp;BudgetsTable[[#This Row],[pi_email]]&amp;"&amp;subject=Your NSF Proposal:  "&amp;BudgetsTable[[#This Row],[prop_id]],BudgetsTable[[#This Row],[pi_email]]))</f>
        <v/>
      </c>
      <c r="P537" s="128" t="s">
        <v>13</v>
      </c>
      <c r="Q537" s="128">
        <v>1</v>
      </c>
      <c r="R537" s="128">
        <v>1</v>
      </c>
      <c r="S537" s="129">
        <v>0</v>
      </c>
      <c r="T537" s="129">
        <v>2450</v>
      </c>
      <c r="U537" s="129">
        <v>0</v>
      </c>
      <c r="V537" s="130">
        <v>79849</v>
      </c>
      <c r="W537" s="128">
        <v>0</v>
      </c>
      <c r="X537" s="128">
        <v>3</v>
      </c>
      <c r="Y537" s="131" t="str">
        <f ca="1">IF(ISBLANK(BudgetsTable[[#This Row],[budg_seq_yr]]),"FY"&amp;fiscalyear,"FY"&amp;fiscalyear-1+BudgetsTable[[#This Row],[budg_seq_yr]])</f>
        <v>FY20</v>
      </c>
      <c r="Z537" s="129">
        <v>79849</v>
      </c>
      <c r="AA537" s="128" t="s">
        <v>741</v>
      </c>
      <c r="AB537" s="128" t="s">
        <v>528</v>
      </c>
      <c r="AC537" s="126" t="s">
        <v>94</v>
      </c>
      <c r="AD537" s="128" t="s">
        <v>751</v>
      </c>
    </row>
    <row r="538" spans="1:30">
      <c r="A538" s="125" t="s">
        <v>678</v>
      </c>
      <c r="B538" s="126" t="s">
        <v>96</v>
      </c>
      <c r="C538" s="126">
        <f>C537+(BudgetsTable[[#This Row],[lead]]&lt;&gt;K537)</f>
        <v>104</v>
      </c>
      <c r="D538" s="126">
        <f>D537*(BudgetsTable[[#This Row],[lead]]=K537)+(BudgetsTable[[#This Row],[prop_id]]&lt;&gt;A537)</f>
        <v>1</v>
      </c>
      <c r="E538" s="127">
        <v>42935.680555555555</v>
      </c>
      <c r="F538" s="128" t="s">
        <v>242</v>
      </c>
      <c r="G538" s="128" t="s">
        <v>741</v>
      </c>
      <c r="H538" s="128" t="s">
        <v>528</v>
      </c>
      <c r="I538" s="126" t="s">
        <v>540</v>
      </c>
      <c r="J538" s="126" t="s">
        <v>13</v>
      </c>
      <c r="K538" s="128" t="s">
        <v>678</v>
      </c>
      <c r="L538" s="7" t="str">
        <f>IF(BudgetsTable[[#This Row],[pi_last_name]]=" ","",HYPERLINK("https://www.ejacket.nsf.gov/ej/showProposal.do?Continue=Y&amp;ID="&amp;BudgetsTable[[#This Row],[prop_id]],BudgetsTable[[#This Row],[prop_id]]))</f>
        <v/>
      </c>
      <c r="M538" s="15" t="str">
        <f>IF(BudgetsTable[[#This Row],[pi_last_name]]=" ","",HYPERLINK("https://www.ejacket.nsf.gov/ej/processReviewAnalysis.do?dispatch=add&amp;uniqId="&amp;BudgetsTable[[#This Row],[prop_id]]&amp;PO_id,"&gt;ra"))</f>
        <v/>
      </c>
      <c r="N538" s="128" t="s">
        <v>13</v>
      </c>
      <c r="O538" s="7" t="str">
        <f>IF(BudgetsTable[[#This Row],[pi_last_name]]=" ","",HYPERLINK("mailto:"&amp;BudgetsTable[[#This Row],[pi_email]]&amp;"&amp;subject=Your NSF Proposal:  "&amp;BudgetsTable[[#This Row],[prop_id]],BudgetsTable[[#This Row],[pi_email]]))</f>
        <v/>
      </c>
      <c r="P538" s="128" t="s">
        <v>13</v>
      </c>
      <c r="Q538" s="128">
        <v>1</v>
      </c>
      <c r="R538" s="128">
        <v>1</v>
      </c>
      <c r="S538" s="129">
        <v>0</v>
      </c>
      <c r="T538" s="129">
        <v>2450</v>
      </c>
      <c r="U538" s="129">
        <v>0</v>
      </c>
      <c r="V538" s="130">
        <v>81580</v>
      </c>
      <c r="W538" s="128">
        <v>0</v>
      </c>
      <c r="X538" s="128">
        <v>4</v>
      </c>
      <c r="Y538" s="131" t="str">
        <f ca="1">IF(ISBLANK(BudgetsTable[[#This Row],[budg_seq_yr]]),"FY"&amp;fiscalyear,"FY"&amp;fiscalyear-1+BudgetsTable[[#This Row],[budg_seq_yr]])</f>
        <v>FY21</v>
      </c>
      <c r="Z538" s="129">
        <v>81580</v>
      </c>
      <c r="AA538" s="128" t="s">
        <v>741</v>
      </c>
      <c r="AB538" s="128" t="s">
        <v>528</v>
      </c>
      <c r="AC538" s="126" t="s">
        <v>94</v>
      </c>
      <c r="AD538" s="128" t="s">
        <v>751</v>
      </c>
    </row>
    <row r="539" spans="1:30">
      <c r="A539" s="125" t="s">
        <v>678</v>
      </c>
      <c r="B539" s="126" t="s">
        <v>96</v>
      </c>
      <c r="C539" s="126">
        <f>C538+(BudgetsTable[[#This Row],[lead]]&lt;&gt;K538)</f>
        <v>104</v>
      </c>
      <c r="D539" s="126">
        <f>D538*(BudgetsTable[[#This Row],[lead]]=K538)+(BudgetsTable[[#This Row],[prop_id]]&lt;&gt;A538)</f>
        <v>1</v>
      </c>
      <c r="E539" s="127">
        <v>42935.680555555555</v>
      </c>
      <c r="F539" s="128" t="s">
        <v>242</v>
      </c>
      <c r="G539" s="128" t="s">
        <v>741</v>
      </c>
      <c r="H539" s="128" t="s">
        <v>528</v>
      </c>
      <c r="I539" s="126" t="s">
        <v>540</v>
      </c>
      <c r="J539" s="126" t="s">
        <v>13</v>
      </c>
      <c r="K539" s="128" t="s">
        <v>678</v>
      </c>
      <c r="L539" s="7" t="str">
        <f>IF(BudgetsTable[[#This Row],[pi_last_name]]=" ","",HYPERLINK("https://www.ejacket.nsf.gov/ej/showProposal.do?Continue=Y&amp;ID="&amp;BudgetsTable[[#This Row],[prop_id]],BudgetsTable[[#This Row],[prop_id]]))</f>
        <v/>
      </c>
      <c r="M539" s="15" t="str">
        <f>IF(BudgetsTable[[#This Row],[pi_last_name]]=" ","",HYPERLINK("https://www.ejacket.nsf.gov/ej/processReviewAnalysis.do?dispatch=add&amp;uniqId="&amp;BudgetsTable[[#This Row],[prop_id]]&amp;PO_id,"&gt;ra"))</f>
        <v/>
      </c>
      <c r="N539" s="128" t="s">
        <v>13</v>
      </c>
      <c r="O539" s="7" t="str">
        <f>IF(BudgetsTable[[#This Row],[pi_last_name]]=" ","",HYPERLINK("mailto:"&amp;BudgetsTable[[#This Row],[pi_email]]&amp;"&amp;subject=Your NSF Proposal:  "&amp;BudgetsTable[[#This Row],[prop_id]],BudgetsTable[[#This Row],[pi_email]]))</f>
        <v/>
      </c>
      <c r="P539" s="128" t="s">
        <v>13</v>
      </c>
      <c r="Q539" s="128">
        <v>1</v>
      </c>
      <c r="R539" s="128">
        <v>1</v>
      </c>
      <c r="S539" s="129">
        <v>0</v>
      </c>
      <c r="T539" s="129">
        <v>2450</v>
      </c>
      <c r="U539" s="129">
        <v>0</v>
      </c>
      <c r="V539" s="130">
        <v>83360</v>
      </c>
      <c r="W539" s="128">
        <v>0</v>
      </c>
      <c r="X539" s="128">
        <v>5</v>
      </c>
      <c r="Y539" s="131" t="str">
        <f ca="1">IF(ISBLANK(BudgetsTable[[#This Row],[budg_seq_yr]]),"FY"&amp;fiscalyear,"FY"&amp;fiscalyear-1+BudgetsTable[[#This Row],[budg_seq_yr]])</f>
        <v>FY22</v>
      </c>
      <c r="Z539" s="129">
        <v>83360</v>
      </c>
      <c r="AA539" s="128" t="s">
        <v>741</v>
      </c>
      <c r="AB539" s="128" t="s">
        <v>528</v>
      </c>
      <c r="AC539" s="126" t="s">
        <v>94</v>
      </c>
      <c r="AD539" s="128" t="s">
        <v>751</v>
      </c>
    </row>
    <row r="540" spans="1:30">
      <c r="A540" s="125" t="s">
        <v>1772</v>
      </c>
      <c r="B540" s="126" t="s">
        <v>96</v>
      </c>
      <c r="C540" s="126">
        <f>C539+(BudgetsTable[[#This Row],[lead]]&lt;&gt;K539)</f>
        <v>105</v>
      </c>
      <c r="D540" s="126">
        <f>D539*(BudgetsTable[[#This Row],[lead]]=K539)+(BudgetsTable[[#This Row],[prop_id]]&lt;&gt;A539)</f>
        <v>1</v>
      </c>
      <c r="E540" s="127">
        <v>42935.680555555555</v>
      </c>
      <c r="F540" s="128" t="s">
        <v>242</v>
      </c>
      <c r="G540" s="128" t="s">
        <v>741</v>
      </c>
      <c r="H540" s="128" t="s">
        <v>528</v>
      </c>
      <c r="I540" s="126" t="s">
        <v>543</v>
      </c>
      <c r="J540" s="126" t="s">
        <v>2445</v>
      </c>
      <c r="K540" s="128" t="s">
        <v>1772</v>
      </c>
      <c r="L540" s="7" t="str">
        <f>IF(BudgetsTable[[#This Row],[pi_last_name]]=" ","",HYPERLINK("https://www.ejacket.nsf.gov/ej/showProposal.do?Continue=Y&amp;ID="&amp;BudgetsTable[[#This Row],[prop_id]],BudgetsTable[[#This Row],[prop_id]]))</f>
        <v>1751048</v>
      </c>
      <c r="M540" s="15" t="str">
        <f>IF(BudgetsTable[[#This Row],[pi_last_name]]=" ","",HYPERLINK("https://www.ejacket.nsf.gov/ej/processReviewAnalysis.do?dispatch=add&amp;uniqId="&amp;BudgetsTable[[#This Row],[prop_id]]&amp;PO_id,"&gt;ra"))</f>
        <v>&gt;ra</v>
      </c>
      <c r="N540" s="128" t="s">
        <v>1773</v>
      </c>
      <c r="O540" s="7" t="str">
        <f>IF(BudgetsTable[[#This Row],[pi_last_name]]=" ","",HYPERLINK("mailto:"&amp;BudgetsTable[[#This Row],[pi_email]]&amp;"&amp;subject=Your NSF Proposal:  "&amp;BudgetsTable[[#This Row],[prop_id]],BudgetsTable[[#This Row],[pi_email]]))</f>
        <v>periklis.research@gmail.com</v>
      </c>
      <c r="P540" s="128" t="s">
        <v>2442</v>
      </c>
      <c r="Q540" s="128"/>
      <c r="R540" s="128"/>
      <c r="S540" s="129"/>
      <c r="T540" s="129"/>
      <c r="U540" s="129"/>
      <c r="V540" s="130"/>
      <c r="W540" s="128">
        <v>0</v>
      </c>
      <c r="X540" s="128"/>
      <c r="Y540" s="131" t="str">
        <f ca="1">IF(ISBLANK(BudgetsTable[[#This Row],[budg_seq_yr]]),"FY"&amp;fiscalyear,"FY"&amp;fiscalyear-1+BudgetsTable[[#This Row],[budg_seq_yr]])</f>
        <v>FY18</v>
      </c>
      <c r="Z540" s="129">
        <v>667571</v>
      </c>
      <c r="AA540" s="128" t="s">
        <v>741</v>
      </c>
      <c r="AB540" s="128" t="s">
        <v>528</v>
      </c>
      <c r="AC540" s="126" t="s">
        <v>94</v>
      </c>
      <c r="AD540" s="128" t="s">
        <v>744</v>
      </c>
    </row>
    <row r="541" spans="1:30">
      <c r="A541" s="125" t="s">
        <v>1772</v>
      </c>
      <c r="B541" s="126" t="s">
        <v>96</v>
      </c>
      <c r="C541" s="126">
        <f>C540+(BudgetsTable[[#This Row],[lead]]&lt;&gt;K540)</f>
        <v>105</v>
      </c>
      <c r="D541" s="126">
        <f>D540*(BudgetsTable[[#This Row],[lead]]=K540)+(BudgetsTable[[#This Row],[prop_id]]&lt;&gt;A540)</f>
        <v>1</v>
      </c>
      <c r="E541" s="127">
        <v>42935.680555555555</v>
      </c>
      <c r="F541" s="128" t="s">
        <v>242</v>
      </c>
      <c r="G541" s="128" t="s">
        <v>741</v>
      </c>
      <c r="H541" s="128" t="s">
        <v>528</v>
      </c>
      <c r="I541" s="126" t="s">
        <v>543</v>
      </c>
      <c r="J541" s="126" t="s">
        <v>13</v>
      </c>
      <c r="K541" s="128" t="s">
        <v>1772</v>
      </c>
      <c r="L541" s="7" t="str">
        <f>IF(BudgetsTable[[#This Row],[pi_last_name]]=" ","",HYPERLINK("https://www.ejacket.nsf.gov/ej/showProposal.do?Continue=Y&amp;ID="&amp;BudgetsTable[[#This Row],[prop_id]],BudgetsTable[[#This Row],[prop_id]]))</f>
        <v/>
      </c>
      <c r="M541" s="15" t="str">
        <f>IF(BudgetsTable[[#This Row],[pi_last_name]]=" ","",HYPERLINK("https://www.ejacket.nsf.gov/ej/processReviewAnalysis.do?dispatch=add&amp;uniqId="&amp;BudgetsTable[[#This Row],[prop_id]]&amp;PO_id,"&gt;ra"))</f>
        <v/>
      </c>
      <c r="N541" s="128" t="s">
        <v>13</v>
      </c>
      <c r="O541" s="7" t="str">
        <f>IF(BudgetsTable[[#This Row],[pi_last_name]]=" ","",HYPERLINK("mailto:"&amp;BudgetsTable[[#This Row],[pi_email]]&amp;"&amp;subject=Your NSF Proposal:  "&amp;BudgetsTable[[#This Row],[prop_id]],BudgetsTable[[#This Row],[pi_email]]))</f>
        <v/>
      </c>
      <c r="P541" s="128" t="s">
        <v>13</v>
      </c>
      <c r="Q541" s="128">
        <v>1</v>
      </c>
      <c r="R541" s="128">
        <v>1</v>
      </c>
      <c r="S541" s="129">
        <v>0</v>
      </c>
      <c r="T541" s="129">
        <v>5000</v>
      </c>
      <c r="U541" s="129">
        <v>0</v>
      </c>
      <c r="V541" s="130">
        <v>129588</v>
      </c>
      <c r="W541" s="128">
        <v>0</v>
      </c>
      <c r="X541" s="128">
        <v>1</v>
      </c>
      <c r="Y541" s="131" t="str">
        <f ca="1">IF(ISBLANK(BudgetsTable[[#This Row],[budg_seq_yr]]),"FY"&amp;fiscalyear,"FY"&amp;fiscalyear-1+BudgetsTable[[#This Row],[budg_seq_yr]])</f>
        <v>FY18</v>
      </c>
      <c r="Z541" s="129">
        <v>129588</v>
      </c>
      <c r="AA541" s="128" t="s">
        <v>741</v>
      </c>
      <c r="AB541" s="128" t="s">
        <v>528</v>
      </c>
      <c r="AC541" s="126" t="s">
        <v>94</v>
      </c>
      <c r="AD541" s="128" t="s">
        <v>744</v>
      </c>
    </row>
    <row r="542" spans="1:30">
      <c r="A542" s="125" t="s">
        <v>1772</v>
      </c>
      <c r="B542" s="126" t="s">
        <v>96</v>
      </c>
      <c r="C542" s="126">
        <f>C541+(BudgetsTable[[#This Row],[lead]]&lt;&gt;K541)</f>
        <v>105</v>
      </c>
      <c r="D542" s="126">
        <f>D541*(BudgetsTable[[#This Row],[lead]]=K541)+(BudgetsTable[[#This Row],[prop_id]]&lt;&gt;A541)</f>
        <v>1</v>
      </c>
      <c r="E542" s="127">
        <v>42935.680555555555</v>
      </c>
      <c r="F542" s="128" t="s">
        <v>242</v>
      </c>
      <c r="G542" s="128" t="s">
        <v>741</v>
      </c>
      <c r="H542" s="128" t="s">
        <v>528</v>
      </c>
      <c r="I542" s="126" t="s">
        <v>543</v>
      </c>
      <c r="J542" s="126" t="s">
        <v>13</v>
      </c>
      <c r="K542" s="128" t="s">
        <v>1772</v>
      </c>
      <c r="L542" s="7" t="str">
        <f>IF(BudgetsTable[[#This Row],[pi_last_name]]=" ","",HYPERLINK("https://www.ejacket.nsf.gov/ej/showProposal.do?Continue=Y&amp;ID="&amp;BudgetsTable[[#This Row],[prop_id]],BudgetsTable[[#This Row],[prop_id]]))</f>
        <v/>
      </c>
      <c r="M542" s="15" t="str">
        <f>IF(BudgetsTable[[#This Row],[pi_last_name]]=" ","",HYPERLINK("https://www.ejacket.nsf.gov/ej/processReviewAnalysis.do?dispatch=add&amp;uniqId="&amp;BudgetsTable[[#This Row],[prop_id]]&amp;PO_id,"&gt;ra"))</f>
        <v/>
      </c>
      <c r="N542" s="128" t="s">
        <v>13</v>
      </c>
      <c r="O542" s="7" t="str">
        <f>IF(BudgetsTable[[#This Row],[pi_last_name]]=" ","",HYPERLINK("mailto:"&amp;BudgetsTable[[#This Row],[pi_email]]&amp;"&amp;subject=Your NSF Proposal:  "&amp;BudgetsTable[[#This Row],[prop_id]],BudgetsTable[[#This Row],[pi_email]]))</f>
        <v/>
      </c>
      <c r="P542" s="128" t="s">
        <v>13</v>
      </c>
      <c r="Q542" s="128">
        <v>1</v>
      </c>
      <c r="R542" s="128">
        <v>1</v>
      </c>
      <c r="S542" s="129">
        <v>0</v>
      </c>
      <c r="T542" s="129">
        <v>5000</v>
      </c>
      <c r="U542" s="129">
        <v>0</v>
      </c>
      <c r="V542" s="130">
        <v>128146</v>
      </c>
      <c r="W542" s="128">
        <v>0</v>
      </c>
      <c r="X542" s="128">
        <v>2</v>
      </c>
      <c r="Y542" s="131" t="str">
        <f ca="1">IF(ISBLANK(BudgetsTable[[#This Row],[budg_seq_yr]]),"FY"&amp;fiscalyear,"FY"&amp;fiscalyear-1+BudgetsTable[[#This Row],[budg_seq_yr]])</f>
        <v>FY19</v>
      </c>
      <c r="Z542" s="129">
        <v>128146</v>
      </c>
      <c r="AA542" s="128" t="s">
        <v>741</v>
      </c>
      <c r="AB542" s="128" t="s">
        <v>528</v>
      </c>
      <c r="AC542" s="126" t="s">
        <v>94</v>
      </c>
      <c r="AD542" s="128" t="s">
        <v>744</v>
      </c>
    </row>
    <row r="543" spans="1:30">
      <c r="A543" s="125" t="s">
        <v>1772</v>
      </c>
      <c r="B543" s="126" t="s">
        <v>96</v>
      </c>
      <c r="C543" s="126">
        <f>C542+(BudgetsTable[[#This Row],[lead]]&lt;&gt;K542)</f>
        <v>105</v>
      </c>
      <c r="D543" s="126">
        <f>D542*(BudgetsTable[[#This Row],[lead]]=K542)+(BudgetsTable[[#This Row],[prop_id]]&lt;&gt;A542)</f>
        <v>1</v>
      </c>
      <c r="E543" s="127">
        <v>42935.680555555555</v>
      </c>
      <c r="F543" s="128" t="s">
        <v>242</v>
      </c>
      <c r="G543" s="128" t="s">
        <v>741</v>
      </c>
      <c r="H543" s="128" t="s">
        <v>528</v>
      </c>
      <c r="I543" s="126" t="s">
        <v>543</v>
      </c>
      <c r="J543" s="126" t="s">
        <v>13</v>
      </c>
      <c r="K543" s="128" t="s">
        <v>1772</v>
      </c>
      <c r="L543" s="7" t="str">
        <f>IF(BudgetsTable[[#This Row],[pi_last_name]]=" ","",HYPERLINK("https://www.ejacket.nsf.gov/ej/showProposal.do?Continue=Y&amp;ID="&amp;BudgetsTable[[#This Row],[prop_id]],BudgetsTable[[#This Row],[prop_id]]))</f>
        <v/>
      </c>
      <c r="M543" s="15" t="str">
        <f>IF(BudgetsTable[[#This Row],[pi_last_name]]=" ","",HYPERLINK("https://www.ejacket.nsf.gov/ej/processReviewAnalysis.do?dispatch=add&amp;uniqId="&amp;BudgetsTable[[#This Row],[prop_id]]&amp;PO_id,"&gt;ra"))</f>
        <v/>
      </c>
      <c r="N543" s="128" t="s">
        <v>13</v>
      </c>
      <c r="O543" s="7" t="str">
        <f>IF(BudgetsTable[[#This Row],[pi_last_name]]=" ","",HYPERLINK("mailto:"&amp;BudgetsTable[[#This Row],[pi_email]]&amp;"&amp;subject=Your NSF Proposal:  "&amp;BudgetsTable[[#This Row],[prop_id]],BudgetsTable[[#This Row],[pi_email]]))</f>
        <v/>
      </c>
      <c r="P543" s="128" t="s">
        <v>13</v>
      </c>
      <c r="Q543" s="128">
        <v>1</v>
      </c>
      <c r="R543" s="128">
        <v>1</v>
      </c>
      <c r="S543" s="129">
        <v>0</v>
      </c>
      <c r="T543" s="129">
        <v>5000</v>
      </c>
      <c r="U543" s="129">
        <v>0</v>
      </c>
      <c r="V543" s="130">
        <v>132271</v>
      </c>
      <c r="W543" s="128">
        <v>0</v>
      </c>
      <c r="X543" s="128">
        <v>3</v>
      </c>
      <c r="Y543" s="131" t="str">
        <f ca="1">IF(ISBLANK(BudgetsTable[[#This Row],[budg_seq_yr]]),"FY"&amp;fiscalyear,"FY"&amp;fiscalyear-1+BudgetsTable[[#This Row],[budg_seq_yr]])</f>
        <v>FY20</v>
      </c>
      <c r="Z543" s="129">
        <v>132271</v>
      </c>
      <c r="AA543" s="128" t="s">
        <v>741</v>
      </c>
      <c r="AB543" s="128" t="s">
        <v>528</v>
      </c>
      <c r="AC543" s="126" t="s">
        <v>94</v>
      </c>
      <c r="AD543" s="128" t="s">
        <v>744</v>
      </c>
    </row>
    <row r="544" spans="1:30">
      <c r="A544" s="125" t="s">
        <v>1772</v>
      </c>
      <c r="B544" s="126" t="s">
        <v>96</v>
      </c>
      <c r="C544" s="126">
        <f>C543+(BudgetsTable[[#This Row],[lead]]&lt;&gt;K543)</f>
        <v>105</v>
      </c>
      <c r="D544" s="126">
        <f>D543*(BudgetsTable[[#This Row],[lead]]=K543)+(BudgetsTable[[#This Row],[prop_id]]&lt;&gt;A543)</f>
        <v>1</v>
      </c>
      <c r="E544" s="127">
        <v>42935.680555555555</v>
      </c>
      <c r="F544" s="128" t="s">
        <v>242</v>
      </c>
      <c r="G544" s="128" t="s">
        <v>741</v>
      </c>
      <c r="H544" s="128" t="s">
        <v>528</v>
      </c>
      <c r="I544" s="126" t="s">
        <v>543</v>
      </c>
      <c r="J544" s="126" t="s">
        <v>13</v>
      </c>
      <c r="K544" s="128" t="s">
        <v>1772</v>
      </c>
      <c r="L544" s="7" t="str">
        <f>IF(BudgetsTable[[#This Row],[pi_last_name]]=" ","",HYPERLINK("https://www.ejacket.nsf.gov/ej/showProposal.do?Continue=Y&amp;ID="&amp;BudgetsTable[[#This Row],[prop_id]],BudgetsTable[[#This Row],[prop_id]]))</f>
        <v/>
      </c>
      <c r="M544" s="15" t="str">
        <f>IF(BudgetsTable[[#This Row],[pi_last_name]]=" ","",HYPERLINK("https://www.ejacket.nsf.gov/ej/processReviewAnalysis.do?dispatch=add&amp;uniqId="&amp;BudgetsTable[[#This Row],[prop_id]]&amp;PO_id,"&gt;ra"))</f>
        <v/>
      </c>
      <c r="N544" s="128" t="s">
        <v>13</v>
      </c>
      <c r="O544" s="7" t="str">
        <f>IF(BudgetsTable[[#This Row],[pi_last_name]]=" ","",HYPERLINK("mailto:"&amp;BudgetsTable[[#This Row],[pi_email]]&amp;"&amp;subject=Your NSF Proposal:  "&amp;BudgetsTable[[#This Row],[prop_id]],BudgetsTable[[#This Row],[pi_email]]))</f>
        <v/>
      </c>
      <c r="P544" s="128" t="s">
        <v>13</v>
      </c>
      <c r="Q544" s="128">
        <v>1</v>
      </c>
      <c r="R544" s="128">
        <v>1</v>
      </c>
      <c r="S544" s="129">
        <v>0</v>
      </c>
      <c r="T544" s="129">
        <v>5000</v>
      </c>
      <c r="U544" s="129">
        <v>0</v>
      </c>
      <c r="V544" s="130">
        <v>136556</v>
      </c>
      <c r="W544" s="128">
        <v>0</v>
      </c>
      <c r="X544" s="128">
        <v>4</v>
      </c>
      <c r="Y544" s="131" t="str">
        <f ca="1">IF(ISBLANK(BudgetsTable[[#This Row],[budg_seq_yr]]),"FY"&amp;fiscalyear,"FY"&amp;fiscalyear-1+BudgetsTable[[#This Row],[budg_seq_yr]])</f>
        <v>FY21</v>
      </c>
      <c r="Z544" s="129">
        <v>136556</v>
      </c>
      <c r="AA544" s="128" t="s">
        <v>741</v>
      </c>
      <c r="AB544" s="128" t="s">
        <v>528</v>
      </c>
      <c r="AC544" s="126" t="s">
        <v>94</v>
      </c>
      <c r="AD544" s="128" t="s">
        <v>744</v>
      </c>
    </row>
    <row r="545" spans="1:30">
      <c r="A545" s="125" t="s">
        <v>1772</v>
      </c>
      <c r="B545" s="126" t="s">
        <v>96</v>
      </c>
      <c r="C545" s="126">
        <f>C544+(BudgetsTable[[#This Row],[lead]]&lt;&gt;K544)</f>
        <v>105</v>
      </c>
      <c r="D545" s="126">
        <f>D544*(BudgetsTable[[#This Row],[lead]]=K544)+(BudgetsTable[[#This Row],[prop_id]]&lt;&gt;A544)</f>
        <v>1</v>
      </c>
      <c r="E545" s="127">
        <v>42935.680555555555</v>
      </c>
      <c r="F545" s="128" t="s">
        <v>242</v>
      </c>
      <c r="G545" s="128" t="s">
        <v>741</v>
      </c>
      <c r="H545" s="128" t="s">
        <v>528</v>
      </c>
      <c r="I545" s="126" t="s">
        <v>543</v>
      </c>
      <c r="J545" s="126" t="s">
        <v>13</v>
      </c>
      <c r="K545" s="128" t="s">
        <v>1772</v>
      </c>
      <c r="L545" s="7" t="str">
        <f>IF(BudgetsTable[[#This Row],[pi_last_name]]=" ","",HYPERLINK("https://www.ejacket.nsf.gov/ej/showProposal.do?Continue=Y&amp;ID="&amp;BudgetsTable[[#This Row],[prop_id]],BudgetsTable[[#This Row],[prop_id]]))</f>
        <v/>
      </c>
      <c r="M545" s="15" t="str">
        <f>IF(BudgetsTable[[#This Row],[pi_last_name]]=" ","",HYPERLINK("https://www.ejacket.nsf.gov/ej/processReviewAnalysis.do?dispatch=add&amp;uniqId="&amp;BudgetsTable[[#This Row],[prop_id]]&amp;PO_id,"&gt;ra"))</f>
        <v/>
      </c>
      <c r="N545" s="128" t="s">
        <v>13</v>
      </c>
      <c r="O545" s="7" t="str">
        <f>IF(BudgetsTable[[#This Row],[pi_last_name]]=" ","",HYPERLINK("mailto:"&amp;BudgetsTable[[#This Row],[pi_email]]&amp;"&amp;subject=Your NSF Proposal:  "&amp;BudgetsTable[[#This Row],[prop_id]],BudgetsTable[[#This Row],[pi_email]]))</f>
        <v/>
      </c>
      <c r="P545" s="128" t="s">
        <v>13</v>
      </c>
      <c r="Q545" s="128">
        <v>1</v>
      </c>
      <c r="R545" s="128">
        <v>1</v>
      </c>
      <c r="S545" s="129">
        <v>0</v>
      </c>
      <c r="T545" s="129">
        <v>5000</v>
      </c>
      <c r="U545" s="129">
        <v>0</v>
      </c>
      <c r="V545" s="130">
        <v>141010</v>
      </c>
      <c r="W545" s="128">
        <v>0</v>
      </c>
      <c r="X545" s="128">
        <v>5</v>
      </c>
      <c r="Y545" s="131" t="str">
        <f ca="1">IF(ISBLANK(BudgetsTable[[#This Row],[budg_seq_yr]]),"FY"&amp;fiscalyear,"FY"&amp;fiscalyear-1+BudgetsTable[[#This Row],[budg_seq_yr]])</f>
        <v>FY22</v>
      </c>
      <c r="Z545" s="129">
        <v>141010</v>
      </c>
      <c r="AA545" s="128" t="s">
        <v>741</v>
      </c>
      <c r="AB545" s="128" t="s">
        <v>528</v>
      </c>
      <c r="AC545" s="126" t="s">
        <v>94</v>
      </c>
      <c r="AD545" s="128" t="s">
        <v>744</v>
      </c>
    </row>
    <row r="546" spans="1:30">
      <c r="A546" s="125" t="s">
        <v>1780</v>
      </c>
      <c r="B546" s="126" t="s">
        <v>96</v>
      </c>
      <c r="C546" s="126">
        <f>C545+(BudgetsTable[[#This Row],[lead]]&lt;&gt;K545)</f>
        <v>106</v>
      </c>
      <c r="D546" s="126">
        <f>D545*(BudgetsTable[[#This Row],[lead]]=K545)+(BudgetsTable[[#This Row],[prop_id]]&lt;&gt;A545)</f>
        <v>1</v>
      </c>
      <c r="E546" s="127">
        <v>42935.68472222222</v>
      </c>
      <c r="F546" s="128" t="s">
        <v>242</v>
      </c>
      <c r="G546" s="128" t="s">
        <v>741</v>
      </c>
      <c r="H546" s="128" t="s">
        <v>528</v>
      </c>
      <c r="I546" s="126" t="s">
        <v>543</v>
      </c>
      <c r="J546" s="126" t="s">
        <v>2449</v>
      </c>
      <c r="K546" s="128" t="s">
        <v>1780</v>
      </c>
      <c r="L546" s="7" t="str">
        <f>IF(BudgetsTable[[#This Row],[pi_last_name]]=" ","",HYPERLINK("https://www.ejacket.nsf.gov/ej/showProposal.do?Continue=Y&amp;ID="&amp;BudgetsTable[[#This Row],[prop_id]],BudgetsTable[[#This Row],[prop_id]]))</f>
        <v>1751076</v>
      </c>
      <c r="M546" s="15" t="str">
        <f>IF(BudgetsTable[[#This Row],[pi_last_name]]=" ","",HYPERLINK("https://www.ejacket.nsf.gov/ej/processReviewAnalysis.do?dispatch=add&amp;uniqId="&amp;BudgetsTable[[#This Row],[prop_id]]&amp;PO_id,"&gt;ra"))</f>
        <v>&gt;ra</v>
      </c>
      <c r="N546" s="128" t="s">
        <v>1781</v>
      </c>
      <c r="O546" s="7" t="str">
        <f>IF(BudgetsTable[[#This Row],[pi_last_name]]=" ","",HYPERLINK("mailto:"&amp;BudgetsTable[[#This Row],[pi_email]]&amp;"&amp;subject=Your NSF Proposal:  "&amp;BudgetsTable[[#This Row],[prop_id]],BudgetsTable[[#This Row],[pi_email]]))</f>
        <v>gkatz@drexel.edu</v>
      </c>
      <c r="P546" s="128" t="s">
        <v>2447</v>
      </c>
      <c r="Q546" s="128"/>
      <c r="R546" s="128"/>
      <c r="S546" s="129"/>
      <c r="T546" s="129"/>
      <c r="U546" s="129"/>
      <c r="V546" s="130"/>
      <c r="W546" s="128">
        <v>0</v>
      </c>
      <c r="X546" s="128"/>
      <c r="Y546" s="131" t="str">
        <f ca="1">IF(ISBLANK(BudgetsTable[[#This Row],[budg_seq_yr]]),"FY"&amp;fiscalyear,"FY"&amp;fiscalyear-1+BudgetsTable[[#This Row],[budg_seq_yr]])</f>
        <v>FY18</v>
      </c>
      <c r="Z546" s="129">
        <v>559983</v>
      </c>
      <c r="AA546" s="128" t="s">
        <v>741</v>
      </c>
      <c r="AB546" s="128" t="s">
        <v>528</v>
      </c>
      <c r="AC546" s="126" t="s">
        <v>94</v>
      </c>
      <c r="AD546" s="128" t="s">
        <v>2399</v>
      </c>
    </row>
    <row r="547" spans="1:30">
      <c r="A547" s="125" t="s">
        <v>1780</v>
      </c>
      <c r="B547" s="126" t="s">
        <v>96</v>
      </c>
      <c r="C547" s="126">
        <f>C546+(BudgetsTable[[#This Row],[lead]]&lt;&gt;K546)</f>
        <v>106</v>
      </c>
      <c r="D547" s="126">
        <f>D546*(BudgetsTable[[#This Row],[lead]]=K546)+(BudgetsTable[[#This Row],[prop_id]]&lt;&gt;A546)</f>
        <v>1</v>
      </c>
      <c r="E547" s="127">
        <v>42935.68472222222</v>
      </c>
      <c r="F547" s="128" t="s">
        <v>242</v>
      </c>
      <c r="G547" s="128" t="s">
        <v>741</v>
      </c>
      <c r="H547" s="128" t="s">
        <v>528</v>
      </c>
      <c r="I547" s="126" t="s">
        <v>543</v>
      </c>
      <c r="J547" s="126" t="s">
        <v>13</v>
      </c>
      <c r="K547" s="128" t="s">
        <v>1780</v>
      </c>
      <c r="L547" s="7" t="str">
        <f>IF(BudgetsTable[[#This Row],[pi_last_name]]=" ","",HYPERLINK("https://www.ejacket.nsf.gov/ej/showProposal.do?Continue=Y&amp;ID="&amp;BudgetsTable[[#This Row],[prop_id]],BudgetsTable[[#This Row],[prop_id]]))</f>
        <v/>
      </c>
      <c r="M547" s="15" t="str">
        <f>IF(BudgetsTable[[#This Row],[pi_last_name]]=" ","",HYPERLINK("https://www.ejacket.nsf.gov/ej/processReviewAnalysis.do?dispatch=add&amp;uniqId="&amp;BudgetsTable[[#This Row],[prop_id]]&amp;PO_id,"&gt;ra"))</f>
        <v/>
      </c>
      <c r="N547" s="128" t="s">
        <v>13</v>
      </c>
      <c r="O547" s="7" t="str">
        <f>IF(BudgetsTable[[#This Row],[pi_last_name]]=" ","",HYPERLINK("mailto:"&amp;BudgetsTable[[#This Row],[pi_email]]&amp;"&amp;subject=Your NSF Proposal:  "&amp;BudgetsTable[[#This Row],[prop_id]],BudgetsTable[[#This Row],[pi_email]]))</f>
        <v/>
      </c>
      <c r="P547" s="128" t="s">
        <v>13</v>
      </c>
      <c r="Q547" s="128">
        <v>1</v>
      </c>
      <c r="R547" s="128">
        <v>1</v>
      </c>
      <c r="S547" s="129">
        <v>0</v>
      </c>
      <c r="T547" s="129">
        <v>2000</v>
      </c>
      <c r="U547" s="129">
        <v>0</v>
      </c>
      <c r="V547" s="130">
        <v>112409</v>
      </c>
      <c r="W547" s="128">
        <v>0</v>
      </c>
      <c r="X547" s="128">
        <v>1</v>
      </c>
      <c r="Y547" s="131" t="str">
        <f ca="1">IF(ISBLANK(BudgetsTable[[#This Row],[budg_seq_yr]]),"FY"&amp;fiscalyear,"FY"&amp;fiscalyear-1+BudgetsTable[[#This Row],[budg_seq_yr]])</f>
        <v>FY18</v>
      </c>
      <c r="Z547" s="129">
        <v>112409</v>
      </c>
      <c r="AA547" s="128" t="s">
        <v>741</v>
      </c>
      <c r="AB547" s="128" t="s">
        <v>528</v>
      </c>
      <c r="AC547" s="126" t="s">
        <v>94</v>
      </c>
      <c r="AD547" s="128" t="s">
        <v>2399</v>
      </c>
    </row>
    <row r="548" spans="1:30">
      <c r="A548" s="125" t="s">
        <v>1780</v>
      </c>
      <c r="B548" s="126" t="s">
        <v>96</v>
      </c>
      <c r="C548" s="126">
        <f>C547+(BudgetsTable[[#This Row],[lead]]&lt;&gt;K547)</f>
        <v>106</v>
      </c>
      <c r="D548" s="126">
        <f>D547*(BudgetsTable[[#This Row],[lead]]=K547)+(BudgetsTable[[#This Row],[prop_id]]&lt;&gt;A547)</f>
        <v>1</v>
      </c>
      <c r="E548" s="127">
        <v>42935.68472222222</v>
      </c>
      <c r="F548" s="128" t="s">
        <v>242</v>
      </c>
      <c r="G548" s="128" t="s">
        <v>741</v>
      </c>
      <c r="H548" s="128" t="s">
        <v>528</v>
      </c>
      <c r="I548" s="126" t="s">
        <v>543</v>
      </c>
      <c r="J548" s="126" t="s">
        <v>13</v>
      </c>
      <c r="K548" s="128" t="s">
        <v>1780</v>
      </c>
      <c r="L548" s="7" t="str">
        <f>IF(BudgetsTable[[#This Row],[pi_last_name]]=" ","",HYPERLINK("https://www.ejacket.nsf.gov/ej/showProposal.do?Continue=Y&amp;ID="&amp;BudgetsTable[[#This Row],[prop_id]],BudgetsTable[[#This Row],[prop_id]]))</f>
        <v/>
      </c>
      <c r="M548" s="15" t="str">
        <f>IF(BudgetsTable[[#This Row],[pi_last_name]]=" ","",HYPERLINK("https://www.ejacket.nsf.gov/ej/processReviewAnalysis.do?dispatch=add&amp;uniqId="&amp;BudgetsTable[[#This Row],[prop_id]]&amp;PO_id,"&gt;ra"))</f>
        <v/>
      </c>
      <c r="N548" s="128" t="s">
        <v>13</v>
      </c>
      <c r="O548" s="7" t="str">
        <f>IF(BudgetsTable[[#This Row],[pi_last_name]]=" ","",HYPERLINK("mailto:"&amp;BudgetsTable[[#This Row],[pi_email]]&amp;"&amp;subject=Your NSF Proposal:  "&amp;BudgetsTable[[#This Row],[prop_id]],BudgetsTable[[#This Row],[pi_email]]))</f>
        <v/>
      </c>
      <c r="P548" s="128" t="s">
        <v>13</v>
      </c>
      <c r="Q548" s="128">
        <v>1</v>
      </c>
      <c r="R548" s="128">
        <v>1</v>
      </c>
      <c r="S548" s="129">
        <v>0</v>
      </c>
      <c r="T548" s="129">
        <v>2000</v>
      </c>
      <c r="U548" s="129">
        <v>0</v>
      </c>
      <c r="V548" s="130">
        <v>107326</v>
      </c>
      <c r="W548" s="128">
        <v>0</v>
      </c>
      <c r="X548" s="128">
        <v>2</v>
      </c>
      <c r="Y548" s="131" t="str">
        <f ca="1">IF(ISBLANK(BudgetsTable[[#This Row],[budg_seq_yr]]),"FY"&amp;fiscalyear,"FY"&amp;fiscalyear-1+BudgetsTable[[#This Row],[budg_seq_yr]])</f>
        <v>FY19</v>
      </c>
      <c r="Z548" s="129">
        <v>107326</v>
      </c>
      <c r="AA548" s="128" t="s">
        <v>741</v>
      </c>
      <c r="AB548" s="128" t="s">
        <v>528</v>
      </c>
      <c r="AC548" s="126" t="s">
        <v>94</v>
      </c>
      <c r="AD548" s="128" t="s">
        <v>2399</v>
      </c>
    </row>
    <row r="549" spans="1:30">
      <c r="A549" s="125" t="s">
        <v>1780</v>
      </c>
      <c r="B549" s="126" t="s">
        <v>96</v>
      </c>
      <c r="C549" s="126">
        <f>C548+(BudgetsTable[[#This Row],[lead]]&lt;&gt;K548)</f>
        <v>106</v>
      </c>
      <c r="D549" s="126">
        <f>D548*(BudgetsTable[[#This Row],[lead]]=K548)+(BudgetsTable[[#This Row],[prop_id]]&lt;&gt;A548)</f>
        <v>1</v>
      </c>
      <c r="E549" s="127">
        <v>42935.68472222222</v>
      </c>
      <c r="F549" s="128" t="s">
        <v>242</v>
      </c>
      <c r="G549" s="128" t="s">
        <v>741</v>
      </c>
      <c r="H549" s="128" t="s">
        <v>528</v>
      </c>
      <c r="I549" s="126" t="s">
        <v>543</v>
      </c>
      <c r="J549" s="126" t="s">
        <v>13</v>
      </c>
      <c r="K549" s="128" t="s">
        <v>1780</v>
      </c>
      <c r="L549" s="7" t="str">
        <f>IF(BudgetsTable[[#This Row],[pi_last_name]]=" ","",HYPERLINK("https://www.ejacket.nsf.gov/ej/showProposal.do?Continue=Y&amp;ID="&amp;BudgetsTable[[#This Row],[prop_id]],BudgetsTable[[#This Row],[prop_id]]))</f>
        <v/>
      </c>
      <c r="M549" s="15" t="str">
        <f>IF(BudgetsTable[[#This Row],[pi_last_name]]=" ","",HYPERLINK("https://www.ejacket.nsf.gov/ej/processReviewAnalysis.do?dispatch=add&amp;uniqId="&amp;BudgetsTable[[#This Row],[prop_id]]&amp;PO_id,"&gt;ra"))</f>
        <v/>
      </c>
      <c r="N549" s="128" t="s">
        <v>13</v>
      </c>
      <c r="O549" s="7" t="str">
        <f>IF(BudgetsTable[[#This Row],[pi_last_name]]=" ","",HYPERLINK("mailto:"&amp;BudgetsTable[[#This Row],[pi_email]]&amp;"&amp;subject=Your NSF Proposal:  "&amp;BudgetsTable[[#This Row],[prop_id]],BudgetsTable[[#This Row],[pi_email]]))</f>
        <v/>
      </c>
      <c r="P549" s="128" t="s">
        <v>13</v>
      </c>
      <c r="Q549" s="128">
        <v>1</v>
      </c>
      <c r="R549" s="128">
        <v>1</v>
      </c>
      <c r="S549" s="129">
        <v>0</v>
      </c>
      <c r="T549" s="129">
        <v>2000</v>
      </c>
      <c r="U549" s="129">
        <v>0</v>
      </c>
      <c r="V549" s="130">
        <v>110310</v>
      </c>
      <c r="W549" s="128">
        <v>0</v>
      </c>
      <c r="X549" s="128">
        <v>3</v>
      </c>
      <c r="Y549" s="131" t="str">
        <f ca="1">IF(ISBLANK(BudgetsTable[[#This Row],[budg_seq_yr]]),"FY"&amp;fiscalyear,"FY"&amp;fiscalyear-1+BudgetsTable[[#This Row],[budg_seq_yr]])</f>
        <v>FY20</v>
      </c>
      <c r="Z549" s="129">
        <v>110310</v>
      </c>
      <c r="AA549" s="128" t="s">
        <v>741</v>
      </c>
      <c r="AB549" s="128" t="s">
        <v>528</v>
      </c>
      <c r="AC549" s="126" t="s">
        <v>94</v>
      </c>
      <c r="AD549" s="128" t="s">
        <v>2399</v>
      </c>
    </row>
    <row r="550" spans="1:30">
      <c r="A550" s="125" t="s">
        <v>1780</v>
      </c>
      <c r="B550" s="126" t="s">
        <v>96</v>
      </c>
      <c r="C550" s="126">
        <f>C549+(BudgetsTable[[#This Row],[lead]]&lt;&gt;K549)</f>
        <v>106</v>
      </c>
      <c r="D550" s="126">
        <f>D549*(BudgetsTable[[#This Row],[lead]]=K549)+(BudgetsTable[[#This Row],[prop_id]]&lt;&gt;A549)</f>
        <v>1</v>
      </c>
      <c r="E550" s="127">
        <v>42935.68472222222</v>
      </c>
      <c r="F550" s="128" t="s">
        <v>242</v>
      </c>
      <c r="G550" s="128" t="s">
        <v>741</v>
      </c>
      <c r="H550" s="128" t="s">
        <v>528</v>
      </c>
      <c r="I550" s="126" t="s">
        <v>543</v>
      </c>
      <c r="J550" s="126" t="s">
        <v>13</v>
      </c>
      <c r="K550" s="128" t="s">
        <v>1780</v>
      </c>
      <c r="L550" s="7" t="str">
        <f>IF(BudgetsTable[[#This Row],[pi_last_name]]=" ","",HYPERLINK("https://www.ejacket.nsf.gov/ej/showProposal.do?Continue=Y&amp;ID="&amp;BudgetsTable[[#This Row],[prop_id]],BudgetsTable[[#This Row],[prop_id]]))</f>
        <v/>
      </c>
      <c r="M550" s="15" t="str">
        <f>IF(BudgetsTable[[#This Row],[pi_last_name]]=" ","",HYPERLINK("https://www.ejacket.nsf.gov/ej/processReviewAnalysis.do?dispatch=add&amp;uniqId="&amp;BudgetsTable[[#This Row],[prop_id]]&amp;PO_id,"&gt;ra"))</f>
        <v/>
      </c>
      <c r="N550" s="128" t="s">
        <v>13</v>
      </c>
      <c r="O550" s="7" t="str">
        <f>IF(BudgetsTable[[#This Row],[pi_last_name]]=" ","",HYPERLINK("mailto:"&amp;BudgetsTable[[#This Row],[pi_email]]&amp;"&amp;subject=Your NSF Proposal:  "&amp;BudgetsTable[[#This Row],[prop_id]],BudgetsTable[[#This Row],[pi_email]]))</f>
        <v/>
      </c>
      <c r="P550" s="128" t="s">
        <v>13</v>
      </c>
      <c r="Q550" s="128">
        <v>1</v>
      </c>
      <c r="R550" s="128">
        <v>1</v>
      </c>
      <c r="S550" s="129">
        <v>0</v>
      </c>
      <c r="T550" s="129">
        <v>2000</v>
      </c>
      <c r="U550" s="129">
        <v>0</v>
      </c>
      <c r="V550" s="130">
        <v>113386</v>
      </c>
      <c r="W550" s="128">
        <v>0</v>
      </c>
      <c r="X550" s="128">
        <v>4</v>
      </c>
      <c r="Y550" s="131" t="str">
        <f ca="1">IF(ISBLANK(BudgetsTable[[#This Row],[budg_seq_yr]]),"FY"&amp;fiscalyear,"FY"&amp;fiscalyear-1+BudgetsTable[[#This Row],[budg_seq_yr]])</f>
        <v>FY21</v>
      </c>
      <c r="Z550" s="129">
        <v>113386</v>
      </c>
      <c r="AA550" s="128" t="s">
        <v>741</v>
      </c>
      <c r="AB550" s="128" t="s">
        <v>528</v>
      </c>
      <c r="AC550" s="126" t="s">
        <v>94</v>
      </c>
      <c r="AD550" s="128" t="s">
        <v>2399</v>
      </c>
    </row>
    <row r="551" spans="1:30">
      <c r="A551" s="125" t="s">
        <v>1780</v>
      </c>
      <c r="B551" s="126" t="s">
        <v>96</v>
      </c>
      <c r="C551" s="126">
        <f>C550+(BudgetsTable[[#This Row],[lead]]&lt;&gt;K550)</f>
        <v>106</v>
      </c>
      <c r="D551" s="126">
        <f>D550*(BudgetsTable[[#This Row],[lead]]=K550)+(BudgetsTable[[#This Row],[prop_id]]&lt;&gt;A550)</f>
        <v>1</v>
      </c>
      <c r="E551" s="127">
        <v>42935.68472222222</v>
      </c>
      <c r="F551" s="128" t="s">
        <v>242</v>
      </c>
      <c r="G551" s="128" t="s">
        <v>741</v>
      </c>
      <c r="H551" s="128" t="s">
        <v>528</v>
      </c>
      <c r="I551" s="126" t="s">
        <v>543</v>
      </c>
      <c r="J551" s="126" t="s">
        <v>13</v>
      </c>
      <c r="K551" s="128" t="s">
        <v>1780</v>
      </c>
      <c r="L551" s="7" t="str">
        <f>IF(BudgetsTable[[#This Row],[pi_last_name]]=" ","",HYPERLINK("https://www.ejacket.nsf.gov/ej/showProposal.do?Continue=Y&amp;ID="&amp;BudgetsTable[[#This Row],[prop_id]],BudgetsTable[[#This Row],[prop_id]]))</f>
        <v/>
      </c>
      <c r="M551" s="15" t="str">
        <f>IF(BudgetsTable[[#This Row],[pi_last_name]]=" ","",HYPERLINK("https://www.ejacket.nsf.gov/ej/processReviewAnalysis.do?dispatch=add&amp;uniqId="&amp;BudgetsTable[[#This Row],[prop_id]]&amp;PO_id,"&gt;ra"))</f>
        <v/>
      </c>
      <c r="N551" s="128" t="s">
        <v>13</v>
      </c>
      <c r="O551" s="7" t="str">
        <f>IF(BudgetsTable[[#This Row],[pi_last_name]]=" ","",HYPERLINK("mailto:"&amp;BudgetsTable[[#This Row],[pi_email]]&amp;"&amp;subject=Your NSF Proposal:  "&amp;BudgetsTable[[#This Row],[prop_id]],BudgetsTable[[#This Row],[pi_email]]))</f>
        <v/>
      </c>
      <c r="P551" s="128" t="s">
        <v>13</v>
      </c>
      <c r="Q551" s="128">
        <v>1</v>
      </c>
      <c r="R551" s="128">
        <v>1</v>
      </c>
      <c r="S551" s="129">
        <v>0</v>
      </c>
      <c r="T551" s="129">
        <v>2000</v>
      </c>
      <c r="U551" s="129">
        <v>0</v>
      </c>
      <c r="V551" s="130">
        <v>116552</v>
      </c>
      <c r="W551" s="128">
        <v>0</v>
      </c>
      <c r="X551" s="128">
        <v>5</v>
      </c>
      <c r="Y551" s="131" t="str">
        <f ca="1">IF(ISBLANK(BudgetsTable[[#This Row],[budg_seq_yr]]),"FY"&amp;fiscalyear,"FY"&amp;fiscalyear-1+BudgetsTable[[#This Row],[budg_seq_yr]])</f>
        <v>FY22</v>
      </c>
      <c r="Z551" s="129">
        <v>116552</v>
      </c>
      <c r="AA551" s="128" t="s">
        <v>741</v>
      </c>
      <c r="AB551" s="128" t="s">
        <v>528</v>
      </c>
      <c r="AC551" s="126" t="s">
        <v>94</v>
      </c>
      <c r="AD551" s="128" t="s">
        <v>2399</v>
      </c>
    </row>
    <row r="552" spans="1:30">
      <c r="A552" s="125" t="s">
        <v>686</v>
      </c>
      <c r="B552" s="126" t="s">
        <v>96</v>
      </c>
      <c r="C552" s="126">
        <f>C551+(BudgetsTable[[#This Row],[lead]]&lt;&gt;K551)</f>
        <v>107</v>
      </c>
      <c r="D552" s="126">
        <f>D551*(BudgetsTable[[#This Row],[lead]]=K551)+(BudgetsTable[[#This Row],[prop_id]]&lt;&gt;A551)</f>
        <v>1</v>
      </c>
      <c r="E552" s="127">
        <v>42935.69027777778</v>
      </c>
      <c r="F552" s="128" t="s">
        <v>242</v>
      </c>
      <c r="G552" s="128" t="s">
        <v>741</v>
      </c>
      <c r="H552" s="128" t="s">
        <v>528</v>
      </c>
      <c r="I552" s="126" t="s">
        <v>540</v>
      </c>
      <c r="J552" s="126" t="s">
        <v>801</v>
      </c>
      <c r="K552" s="128" t="s">
        <v>686</v>
      </c>
      <c r="L552" s="7" t="str">
        <f>IF(BudgetsTable[[#This Row],[pi_last_name]]=" ","",HYPERLINK("https://www.ejacket.nsf.gov/ej/showProposal.do?Continue=Y&amp;ID="&amp;BudgetsTable[[#This Row],[prop_id]],BudgetsTable[[#This Row],[prop_id]]))</f>
        <v>1751102</v>
      </c>
      <c r="M552" s="15" t="str">
        <f>IF(BudgetsTable[[#This Row],[pi_last_name]]=" ","",HYPERLINK("https://www.ejacket.nsf.gov/ej/processReviewAnalysis.do?dispatch=add&amp;uniqId="&amp;BudgetsTable[[#This Row],[prop_id]]&amp;PO_id,"&gt;ra"))</f>
        <v>&gt;ra</v>
      </c>
      <c r="N552" s="128" t="s">
        <v>687</v>
      </c>
      <c r="O552" s="7" t="str">
        <f>IF(BudgetsTable[[#This Row],[pi_last_name]]=" ","",HYPERLINK("mailto:"&amp;BudgetsTable[[#This Row],[pi_email]]&amp;"&amp;subject=Your NSF Proposal:  "&amp;BudgetsTable[[#This Row],[prop_id]],BudgetsTable[[#This Row],[pi_email]]))</f>
        <v>evouga@cs.utexas.edu</v>
      </c>
      <c r="P552" s="128" t="s">
        <v>799</v>
      </c>
      <c r="Q552" s="128"/>
      <c r="R552" s="128"/>
      <c r="S552" s="129"/>
      <c r="T552" s="129"/>
      <c r="U552" s="129"/>
      <c r="V552" s="130"/>
      <c r="W552" s="128">
        <v>0</v>
      </c>
      <c r="X552" s="128"/>
      <c r="Y552" s="131" t="str">
        <f ca="1">IF(ISBLANK(BudgetsTable[[#This Row],[budg_seq_yr]]),"FY"&amp;fiscalyear,"FY"&amp;fiscalyear-1+BudgetsTable[[#This Row],[budg_seq_yr]])</f>
        <v>FY18</v>
      </c>
      <c r="Z552" s="129">
        <v>523537</v>
      </c>
      <c r="AA552" s="128" t="s">
        <v>741</v>
      </c>
      <c r="AB552" s="128" t="s">
        <v>528</v>
      </c>
      <c r="AC552" s="126" t="s">
        <v>94</v>
      </c>
      <c r="AD552" s="128" t="s">
        <v>751</v>
      </c>
    </row>
    <row r="553" spans="1:30">
      <c r="A553" s="125" t="s">
        <v>686</v>
      </c>
      <c r="B553" s="126" t="s">
        <v>96</v>
      </c>
      <c r="C553" s="126">
        <f>C552+(BudgetsTable[[#This Row],[lead]]&lt;&gt;K552)</f>
        <v>107</v>
      </c>
      <c r="D553" s="126">
        <f>D552*(BudgetsTable[[#This Row],[lead]]=K552)+(BudgetsTable[[#This Row],[prop_id]]&lt;&gt;A552)</f>
        <v>1</v>
      </c>
      <c r="E553" s="127">
        <v>42935.69027777778</v>
      </c>
      <c r="F553" s="128" t="s">
        <v>242</v>
      </c>
      <c r="G553" s="128" t="s">
        <v>741</v>
      </c>
      <c r="H553" s="128" t="s">
        <v>528</v>
      </c>
      <c r="I553" s="126" t="s">
        <v>540</v>
      </c>
      <c r="J553" s="126" t="s">
        <v>13</v>
      </c>
      <c r="K553" s="128" t="s">
        <v>686</v>
      </c>
      <c r="L553" s="7" t="str">
        <f>IF(BudgetsTable[[#This Row],[pi_last_name]]=" ","",HYPERLINK("https://www.ejacket.nsf.gov/ej/showProposal.do?Continue=Y&amp;ID="&amp;BudgetsTable[[#This Row],[prop_id]],BudgetsTable[[#This Row],[prop_id]]))</f>
        <v/>
      </c>
      <c r="M553" s="15" t="str">
        <f>IF(BudgetsTable[[#This Row],[pi_last_name]]=" ","",HYPERLINK("https://www.ejacket.nsf.gov/ej/processReviewAnalysis.do?dispatch=add&amp;uniqId="&amp;BudgetsTable[[#This Row],[prop_id]]&amp;PO_id,"&gt;ra"))</f>
        <v/>
      </c>
      <c r="N553" s="128" t="s">
        <v>13</v>
      </c>
      <c r="O553" s="7" t="str">
        <f>IF(BudgetsTable[[#This Row],[pi_last_name]]=" ","",HYPERLINK("mailto:"&amp;BudgetsTable[[#This Row],[pi_email]]&amp;"&amp;subject=Your NSF Proposal:  "&amp;BudgetsTable[[#This Row],[prop_id]],BudgetsTable[[#This Row],[pi_email]]))</f>
        <v/>
      </c>
      <c r="P553" s="128" t="s">
        <v>13</v>
      </c>
      <c r="Q553" s="128">
        <v>1</v>
      </c>
      <c r="R553" s="128">
        <v>0.4</v>
      </c>
      <c r="S553" s="129">
        <v>0</v>
      </c>
      <c r="T553" s="129">
        <v>3000</v>
      </c>
      <c r="U553" s="129">
        <v>0</v>
      </c>
      <c r="V553" s="130">
        <v>150440</v>
      </c>
      <c r="W553" s="128">
        <v>0</v>
      </c>
      <c r="X553" s="128">
        <v>1</v>
      </c>
      <c r="Y553" s="131" t="str">
        <f ca="1">IF(ISBLANK(BudgetsTable[[#This Row],[budg_seq_yr]]),"FY"&amp;fiscalyear,"FY"&amp;fiscalyear-1+BudgetsTable[[#This Row],[budg_seq_yr]])</f>
        <v>FY18</v>
      </c>
      <c r="Z553" s="129">
        <v>150440</v>
      </c>
      <c r="AA553" s="128" t="s">
        <v>741</v>
      </c>
      <c r="AB553" s="128" t="s">
        <v>528</v>
      </c>
      <c r="AC553" s="126" t="s">
        <v>94</v>
      </c>
      <c r="AD553" s="128" t="s">
        <v>751</v>
      </c>
    </row>
    <row r="554" spans="1:30">
      <c r="A554" s="125" t="s">
        <v>686</v>
      </c>
      <c r="B554" s="126" t="s">
        <v>96</v>
      </c>
      <c r="C554" s="126">
        <f>C553+(BudgetsTable[[#This Row],[lead]]&lt;&gt;K553)</f>
        <v>107</v>
      </c>
      <c r="D554" s="126">
        <f>D553*(BudgetsTable[[#This Row],[lead]]=K553)+(BudgetsTable[[#This Row],[prop_id]]&lt;&gt;A553)</f>
        <v>1</v>
      </c>
      <c r="E554" s="127">
        <v>42935.69027777778</v>
      </c>
      <c r="F554" s="128" t="s">
        <v>242</v>
      </c>
      <c r="G554" s="128" t="s">
        <v>741</v>
      </c>
      <c r="H554" s="128" t="s">
        <v>528</v>
      </c>
      <c r="I554" s="126" t="s">
        <v>540</v>
      </c>
      <c r="J554" s="126" t="s">
        <v>13</v>
      </c>
      <c r="K554" s="128" t="s">
        <v>686</v>
      </c>
      <c r="L554" s="7" t="str">
        <f>IF(BudgetsTable[[#This Row],[pi_last_name]]=" ","",HYPERLINK("https://www.ejacket.nsf.gov/ej/showProposal.do?Continue=Y&amp;ID="&amp;BudgetsTable[[#This Row],[prop_id]],BudgetsTable[[#This Row],[prop_id]]))</f>
        <v/>
      </c>
      <c r="M554" s="15" t="str">
        <f>IF(BudgetsTable[[#This Row],[pi_last_name]]=" ","",HYPERLINK("https://www.ejacket.nsf.gov/ej/processReviewAnalysis.do?dispatch=add&amp;uniqId="&amp;BudgetsTable[[#This Row],[prop_id]]&amp;PO_id,"&gt;ra"))</f>
        <v/>
      </c>
      <c r="N554" s="128" t="s">
        <v>13</v>
      </c>
      <c r="O554" s="7" t="str">
        <f>IF(BudgetsTable[[#This Row],[pi_last_name]]=" ","",HYPERLINK("mailto:"&amp;BudgetsTable[[#This Row],[pi_email]]&amp;"&amp;subject=Your NSF Proposal:  "&amp;BudgetsTable[[#This Row],[prop_id]],BudgetsTable[[#This Row],[pi_email]]))</f>
        <v/>
      </c>
      <c r="P554" s="128" t="s">
        <v>13</v>
      </c>
      <c r="Q554" s="128">
        <v>1</v>
      </c>
      <c r="R554" s="128">
        <v>0.4</v>
      </c>
      <c r="S554" s="129">
        <v>0</v>
      </c>
      <c r="T554" s="129">
        <v>3000</v>
      </c>
      <c r="U554" s="129">
        <v>0</v>
      </c>
      <c r="V554" s="130">
        <v>148480</v>
      </c>
      <c r="W554" s="128">
        <v>0</v>
      </c>
      <c r="X554" s="128">
        <v>2</v>
      </c>
      <c r="Y554" s="131" t="str">
        <f ca="1">IF(ISBLANK(BudgetsTable[[#This Row],[budg_seq_yr]]),"FY"&amp;fiscalyear,"FY"&amp;fiscalyear-1+BudgetsTable[[#This Row],[budg_seq_yr]])</f>
        <v>FY19</v>
      </c>
      <c r="Z554" s="129">
        <v>148480</v>
      </c>
      <c r="AA554" s="128" t="s">
        <v>741</v>
      </c>
      <c r="AB554" s="128" t="s">
        <v>528</v>
      </c>
      <c r="AC554" s="126" t="s">
        <v>94</v>
      </c>
      <c r="AD554" s="128" t="s">
        <v>751</v>
      </c>
    </row>
    <row r="555" spans="1:30">
      <c r="A555" s="125" t="s">
        <v>686</v>
      </c>
      <c r="B555" s="126" t="s">
        <v>96</v>
      </c>
      <c r="C555" s="126">
        <f>C554+(BudgetsTable[[#This Row],[lead]]&lt;&gt;K554)</f>
        <v>107</v>
      </c>
      <c r="D555" s="126">
        <f>D554*(BudgetsTable[[#This Row],[lead]]=K554)+(BudgetsTable[[#This Row],[prop_id]]&lt;&gt;A554)</f>
        <v>1</v>
      </c>
      <c r="E555" s="127">
        <v>42935.69027777778</v>
      </c>
      <c r="F555" s="128" t="s">
        <v>242</v>
      </c>
      <c r="G555" s="128" t="s">
        <v>741</v>
      </c>
      <c r="H555" s="128" t="s">
        <v>528</v>
      </c>
      <c r="I555" s="126" t="s">
        <v>540</v>
      </c>
      <c r="J555" s="126" t="s">
        <v>13</v>
      </c>
      <c r="K555" s="128" t="s">
        <v>686</v>
      </c>
      <c r="L555" s="7" t="str">
        <f>IF(BudgetsTable[[#This Row],[pi_last_name]]=" ","",HYPERLINK("https://www.ejacket.nsf.gov/ej/showProposal.do?Continue=Y&amp;ID="&amp;BudgetsTable[[#This Row],[prop_id]],BudgetsTable[[#This Row],[prop_id]]))</f>
        <v/>
      </c>
      <c r="M555" s="15" t="str">
        <f>IF(BudgetsTable[[#This Row],[pi_last_name]]=" ","",HYPERLINK("https://www.ejacket.nsf.gov/ej/processReviewAnalysis.do?dispatch=add&amp;uniqId="&amp;BudgetsTable[[#This Row],[prop_id]]&amp;PO_id,"&gt;ra"))</f>
        <v/>
      </c>
      <c r="N555" s="128" t="s">
        <v>13</v>
      </c>
      <c r="O555" s="7" t="str">
        <f>IF(BudgetsTable[[#This Row],[pi_last_name]]=" ","",HYPERLINK("mailto:"&amp;BudgetsTable[[#This Row],[pi_email]]&amp;"&amp;subject=Your NSF Proposal:  "&amp;BudgetsTable[[#This Row],[prop_id]],BudgetsTable[[#This Row],[pi_email]]))</f>
        <v/>
      </c>
      <c r="P555" s="128" t="s">
        <v>13</v>
      </c>
      <c r="Q555" s="128">
        <v>1</v>
      </c>
      <c r="R555" s="128">
        <v>0.4</v>
      </c>
      <c r="S555" s="129">
        <v>0</v>
      </c>
      <c r="T555" s="129">
        <v>3000</v>
      </c>
      <c r="U555" s="129">
        <v>0</v>
      </c>
      <c r="V555" s="130">
        <v>74290</v>
      </c>
      <c r="W555" s="128">
        <v>0</v>
      </c>
      <c r="X555" s="128">
        <v>3</v>
      </c>
      <c r="Y555" s="131" t="str">
        <f ca="1">IF(ISBLANK(BudgetsTable[[#This Row],[budg_seq_yr]]),"FY"&amp;fiscalyear,"FY"&amp;fiscalyear-1+BudgetsTable[[#This Row],[budg_seq_yr]])</f>
        <v>FY20</v>
      </c>
      <c r="Z555" s="129">
        <v>74290</v>
      </c>
      <c r="AA555" s="128" t="s">
        <v>741</v>
      </c>
      <c r="AB555" s="128" t="s">
        <v>528</v>
      </c>
      <c r="AC555" s="126" t="s">
        <v>94</v>
      </c>
      <c r="AD555" s="128" t="s">
        <v>751</v>
      </c>
    </row>
    <row r="556" spans="1:30">
      <c r="A556" s="125" t="s">
        <v>686</v>
      </c>
      <c r="B556" s="126" t="s">
        <v>96</v>
      </c>
      <c r="C556" s="126">
        <f>C555+(BudgetsTable[[#This Row],[lead]]&lt;&gt;K555)</f>
        <v>107</v>
      </c>
      <c r="D556" s="126">
        <f>D555*(BudgetsTable[[#This Row],[lead]]=K555)+(BudgetsTable[[#This Row],[prop_id]]&lt;&gt;A555)</f>
        <v>1</v>
      </c>
      <c r="E556" s="127">
        <v>42935.69027777778</v>
      </c>
      <c r="F556" s="128" t="s">
        <v>242</v>
      </c>
      <c r="G556" s="128" t="s">
        <v>741</v>
      </c>
      <c r="H556" s="128" t="s">
        <v>528</v>
      </c>
      <c r="I556" s="126" t="s">
        <v>540</v>
      </c>
      <c r="J556" s="126" t="s">
        <v>13</v>
      </c>
      <c r="K556" s="128" t="s">
        <v>686</v>
      </c>
      <c r="L556" s="7" t="str">
        <f>IF(BudgetsTable[[#This Row],[pi_last_name]]=" ","",HYPERLINK("https://www.ejacket.nsf.gov/ej/showProposal.do?Continue=Y&amp;ID="&amp;BudgetsTable[[#This Row],[prop_id]],BudgetsTable[[#This Row],[prop_id]]))</f>
        <v/>
      </c>
      <c r="M556" s="15" t="str">
        <f>IF(BudgetsTable[[#This Row],[pi_last_name]]=" ","",HYPERLINK("https://www.ejacket.nsf.gov/ej/processReviewAnalysis.do?dispatch=add&amp;uniqId="&amp;BudgetsTable[[#This Row],[prop_id]]&amp;PO_id,"&gt;ra"))</f>
        <v/>
      </c>
      <c r="N556" s="128" t="s">
        <v>13</v>
      </c>
      <c r="O556" s="7" t="str">
        <f>IF(BudgetsTable[[#This Row],[pi_last_name]]=" ","",HYPERLINK("mailto:"&amp;BudgetsTable[[#This Row],[pi_email]]&amp;"&amp;subject=Your NSF Proposal:  "&amp;BudgetsTable[[#This Row],[prop_id]],BudgetsTable[[#This Row],[pi_email]]))</f>
        <v/>
      </c>
      <c r="P556" s="128" t="s">
        <v>13</v>
      </c>
      <c r="Q556" s="128">
        <v>1</v>
      </c>
      <c r="R556" s="128">
        <v>0.4</v>
      </c>
      <c r="S556" s="129">
        <v>0</v>
      </c>
      <c r="T556" s="129">
        <v>3000</v>
      </c>
      <c r="U556" s="129">
        <v>0</v>
      </c>
      <c r="V556" s="130">
        <v>74335</v>
      </c>
      <c r="W556" s="128">
        <v>0</v>
      </c>
      <c r="X556" s="128">
        <v>4</v>
      </c>
      <c r="Y556" s="131" t="str">
        <f ca="1">IF(ISBLANK(BudgetsTable[[#This Row],[budg_seq_yr]]),"FY"&amp;fiscalyear,"FY"&amp;fiscalyear-1+BudgetsTable[[#This Row],[budg_seq_yr]])</f>
        <v>FY21</v>
      </c>
      <c r="Z556" s="129">
        <v>74335</v>
      </c>
      <c r="AA556" s="128" t="s">
        <v>741</v>
      </c>
      <c r="AB556" s="128" t="s">
        <v>528</v>
      </c>
      <c r="AC556" s="126" t="s">
        <v>94</v>
      </c>
      <c r="AD556" s="128" t="s">
        <v>751</v>
      </c>
    </row>
    <row r="557" spans="1:30">
      <c r="A557" s="125" t="s">
        <v>686</v>
      </c>
      <c r="B557" s="126" t="s">
        <v>96</v>
      </c>
      <c r="C557" s="126">
        <f>C556+(BudgetsTable[[#This Row],[lead]]&lt;&gt;K556)</f>
        <v>107</v>
      </c>
      <c r="D557" s="126">
        <f>D556*(BudgetsTable[[#This Row],[lead]]=K556)+(BudgetsTable[[#This Row],[prop_id]]&lt;&gt;A556)</f>
        <v>1</v>
      </c>
      <c r="E557" s="127">
        <v>42935.69027777778</v>
      </c>
      <c r="F557" s="128" t="s">
        <v>242</v>
      </c>
      <c r="G557" s="128" t="s">
        <v>741</v>
      </c>
      <c r="H557" s="128" t="s">
        <v>528</v>
      </c>
      <c r="I557" s="126" t="s">
        <v>540</v>
      </c>
      <c r="J557" s="126" t="s">
        <v>13</v>
      </c>
      <c r="K557" s="128" t="s">
        <v>686</v>
      </c>
      <c r="L557" s="7" t="str">
        <f>IF(BudgetsTable[[#This Row],[pi_last_name]]=" ","",HYPERLINK("https://www.ejacket.nsf.gov/ej/showProposal.do?Continue=Y&amp;ID="&amp;BudgetsTable[[#This Row],[prop_id]],BudgetsTable[[#This Row],[prop_id]]))</f>
        <v/>
      </c>
      <c r="M557" s="15" t="str">
        <f>IF(BudgetsTable[[#This Row],[pi_last_name]]=" ","",HYPERLINK("https://www.ejacket.nsf.gov/ej/processReviewAnalysis.do?dispatch=add&amp;uniqId="&amp;BudgetsTable[[#This Row],[prop_id]]&amp;PO_id,"&gt;ra"))</f>
        <v/>
      </c>
      <c r="N557" s="128" t="s">
        <v>13</v>
      </c>
      <c r="O557" s="7" t="str">
        <f>IF(BudgetsTable[[#This Row],[pi_last_name]]=" ","",HYPERLINK("mailto:"&amp;BudgetsTable[[#This Row],[pi_email]]&amp;"&amp;subject=Your NSF Proposal:  "&amp;BudgetsTable[[#This Row],[prop_id]],BudgetsTable[[#This Row],[pi_email]]))</f>
        <v/>
      </c>
      <c r="P557" s="128" t="s">
        <v>13</v>
      </c>
      <c r="Q557" s="128">
        <v>1</v>
      </c>
      <c r="R557" s="128">
        <v>0.4</v>
      </c>
      <c r="S557" s="129">
        <v>0</v>
      </c>
      <c r="T557" s="129">
        <v>3000</v>
      </c>
      <c r="U557" s="129">
        <v>0</v>
      </c>
      <c r="V557" s="130">
        <v>75992</v>
      </c>
      <c r="W557" s="128">
        <v>0</v>
      </c>
      <c r="X557" s="128">
        <v>5</v>
      </c>
      <c r="Y557" s="131" t="str">
        <f ca="1">IF(ISBLANK(BudgetsTable[[#This Row],[budg_seq_yr]]),"FY"&amp;fiscalyear,"FY"&amp;fiscalyear-1+BudgetsTable[[#This Row],[budg_seq_yr]])</f>
        <v>FY22</v>
      </c>
      <c r="Z557" s="129">
        <v>75992</v>
      </c>
      <c r="AA557" s="128" t="s">
        <v>741</v>
      </c>
      <c r="AB557" s="128" t="s">
        <v>528</v>
      </c>
      <c r="AC557" s="126" t="s">
        <v>94</v>
      </c>
      <c r="AD557" s="128" t="s">
        <v>751</v>
      </c>
    </row>
    <row r="558" spans="1:30">
      <c r="A558" s="125" t="s">
        <v>695</v>
      </c>
      <c r="B558" s="126" t="s">
        <v>96</v>
      </c>
      <c r="C558" s="126">
        <f>C557+(BudgetsTable[[#This Row],[lead]]&lt;&gt;K557)</f>
        <v>108</v>
      </c>
      <c r="D558" s="126">
        <f>D557*(BudgetsTable[[#This Row],[lead]]=K557)+(BudgetsTable[[#This Row],[prop_id]]&lt;&gt;A557)</f>
        <v>1</v>
      </c>
      <c r="E558" s="127">
        <v>42935.696527777778</v>
      </c>
      <c r="F558" s="128" t="s">
        <v>242</v>
      </c>
      <c r="G558" s="128" t="s">
        <v>741</v>
      </c>
      <c r="H558" s="128" t="s">
        <v>528</v>
      </c>
      <c r="I558" s="126" t="s">
        <v>540</v>
      </c>
      <c r="J558" s="126" t="s">
        <v>807</v>
      </c>
      <c r="K558" s="128" t="s">
        <v>695</v>
      </c>
      <c r="L558" s="7" t="str">
        <f>IF(BudgetsTable[[#This Row],[pi_last_name]]=" ","",HYPERLINK("https://www.ejacket.nsf.gov/ej/showProposal.do?Continue=Y&amp;ID="&amp;BudgetsTable[[#This Row],[prop_id]],BudgetsTable[[#This Row],[prop_id]]))</f>
        <v>1751135</v>
      </c>
      <c r="M558" s="15" t="str">
        <f>IF(BudgetsTable[[#This Row],[pi_last_name]]=" ","",HYPERLINK("https://www.ejacket.nsf.gov/ej/processReviewAnalysis.do?dispatch=add&amp;uniqId="&amp;BudgetsTable[[#This Row],[prop_id]]&amp;PO_id,"&gt;ra"))</f>
        <v>&gt;ra</v>
      </c>
      <c r="N558" s="128" t="s">
        <v>696</v>
      </c>
      <c r="O558" s="7" t="str">
        <f>IF(BudgetsTable[[#This Row],[pi_last_name]]=" ","",HYPERLINK("mailto:"&amp;BudgetsTable[[#This Row],[pi_email]]&amp;"&amp;subject=Your NSF Proposal:  "&amp;BudgetsTable[[#This Row],[prop_id]],BudgetsTable[[#This Row],[pi_email]]))</f>
        <v>nayyeria@eecs.oregonstate.edu</v>
      </c>
      <c r="P558" s="128" t="s">
        <v>804</v>
      </c>
      <c r="Q558" s="128"/>
      <c r="R558" s="128"/>
      <c r="S558" s="129"/>
      <c r="T558" s="129"/>
      <c r="U558" s="129"/>
      <c r="V558" s="130"/>
      <c r="W558" s="128">
        <v>0</v>
      </c>
      <c r="X558" s="128"/>
      <c r="Y558" s="131" t="str">
        <f ca="1">IF(ISBLANK(BudgetsTable[[#This Row],[budg_seq_yr]]),"FY"&amp;fiscalyear,"FY"&amp;fiscalyear-1+BudgetsTable[[#This Row],[budg_seq_yr]])</f>
        <v>FY18</v>
      </c>
      <c r="Z558" s="129">
        <v>607459</v>
      </c>
      <c r="AA558" s="128" t="s">
        <v>741</v>
      </c>
      <c r="AB558" s="128" t="s">
        <v>528</v>
      </c>
      <c r="AC558" s="126" t="s">
        <v>94</v>
      </c>
      <c r="AD558" s="128" t="s">
        <v>751</v>
      </c>
    </row>
    <row r="559" spans="1:30">
      <c r="A559" s="125" t="s">
        <v>695</v>
      </c>
      <c r="B559" s="126" t="s">
        <v>96</v>
      </c>
      <c r="C559" s="126">
        <f>C558+(BudgetsTable[[#This Row],[lead]]&lt;&gt;K558)</f>
        <v>108</v>
      </c>
      <c r="D559" s="126">
        <f>D558*(BudgetsTable[[#This Row],[lead]]=K558)+(BudgetsTable[[#This Row],[prop_id]]&lt;&gt;A558)</f>
        <v>1</v>
      </c>
      <c r="E559" s="127">
        <v>42935.696527777778</v>
      </c>
      <c r="F559" s="128" t="s">
        <v>242</v>
      </c>
      <c r="G559" s="128" t="s">
        <v>741</v>
      </c>
      <c r="H559" s="128" t="s">
        <v>528</v>
      </c>
      <c r="I559" s="126" t="s">
        <v>540</v>
      </c>
      <c r="J559" s="126" t="s">
        <v>13</v>
      </c>
      <c r="K559" s="128" t="s">
        <v>695</v>
      </c>
      <c r="L559" s="7" t="str">
        <f>IF(BudgetsTable[[#This Row],[pi_last_name]]=" ","",HYPERLINK("https://www.ejacket.nsf.gov/ej/showProposal.do?Continue=Y&amp;ID="&amp;BudgetsTable[[#This Row],[prop_id]],BudgetsTable[[#This Row],[prop_id]]))</f>
        <v/>
      </c>
      <c r="M559" s="15" t="str">
        <f>IF(BudgetsTable[[#This Row],[pi_last_name]]=" ","",HYPERLINK("https://www.ejacket.nsf.gov/ej/processReviewAnalysis.do?dispatch=add&amp;uniqId="&amp;BudgetsTable[[#This Row],[prop_id]]&amp;PO_id,"&gt;ra"))</f>
        <v/>
      </c>
      <c r="N559" s="128" t="s">
        <v>13</v>
      </c>
      <c r="O559" s="7" t="str">
        <f>IF(BudgetsTable[[#This Row],[pi_last_name]]=" ","",HYPERLINK("mailto:"&amp;BudgetsTable[[#This Row],[pi_email]]&amp;"&amp;subject=Your NSF Proposal:  "&amp;BudgetsTable[[#This Row],[prop_id]],BudgetsTable[[#This Row],[pi_email]]))</f>
        <v/>
      </c>
      <c r="P559" s="128" t="s">
        <v>13</v>
      </c>
      <c r="Q559" s="128">
        <v>1</v>
      </c>
      <c r="R559" s="128">
        <v>0.5</v>
      </c>
      <c r="S559" s="129">
        <v>0</v>
      </c>
      <c r="T559" s="129">
        <v>0</v>
      </c>
      <c r="U559" s="129">
        <v>1100</v>
      </c>
      <c r="V559" s="130">
        <v>94905</v>
      </c>
      <c r="W559" s="128">
        <v>0</v>
      </c>
      <c r="X559" s="128">
        <v>1</v>
      </c>
      <c r="Y559" s="131" t="str">
        <f ca="1">IF(ISBLANK(BudgetsTable[[#This Row],[budg_seq_yr]]),"FY"&amp;fiscalyear,"FY"&amp;fiscalyear-1+BudgetsTable[[#This Row],[budg_seq_yr]])</f>
        <v>FY18</v>
      </c>
      <c r="Z559" s="129">
        <v>94905</v>
      </c>
      <c r="AA559" s="128" t="s">
        <v>741</v>
      </c>
      <c r="AB559" s="128" t="s">
        <v>528</v>
      </c>
      <c r="AC559" s="126" t="s">
        <v>94</v>
      </c>
      <c r="AD559" s="128" t="s">
        <v>751</v>
      </c>
    </row>
    <row r="560" spans="1:30">
      <c r="A560" s="125" t="s">
        <v>695</v>
      </c>
      <c r="B560" s="126" t="s">
        <v>96</v>
      </c>
      <c r="C560" s="126">
        <f>C559+(BudgetsTable[[#This Row],[lead]]&lt;&gt;K559)</f>
        <v>108</v>
      </c>
      <c r="D560" s="126">
        <f>D559*(BudgetsTable[[#This Row],[lead]]=K559)+(BudgetsTable[[#This Row],[prop_id]]&lt;&gt;A559)</f>
        <v>1</v>
      </c>
      <c r="E560" s="127">
        <v>42935.696527777778</v>
      </c>
      <c r="F560" s="128" t="s">
        <v>242</v>
      </c>
      <c r="G560" s="128" t="s">
        <v>741</v>
      </c>
      <c r="H560" s="128" t="s">
        <v>528</v>
      </c>
      <c r="I560" s="126" t="s">
        <v>540</v>
      </c>
      <c r="J560" s="126" t="s">
        <v>13</v>
      </c>
      <c r="K560" s="128" t="s">
        <v>695</v>
      </c>
      <c r="L560" s="7" t="str">
        <f>IF(BudgetsTable[[#This Row],[pi_last_name]]=" ","",HYPERLINK("https://www.ejacket.nsf.gov/ej/showProposal.do?Continue=Y&amp;ID="&amp;BudgetsTable[[#This Row],[prop_id]],BudgetsTable[[#This Row],[prop_id]]))</f>
        <v/>
      </c>
      <c r="M560" s="15" t="str">
        <f>IF(BudgetsTable[[#This Row],[pi_last_name]]=" ","",HYPERLINK("https://www.ejacket.nsf.gov/ej/processReviewAnalysis.do?dispatch=add&amp;uniqId="&amp;BudgetsTable[[#This Row],[prop_id]]&amp;PO_id,"&gt;ra"))</f>
        <v/>
      </c>
      <c r="N560" s="128" t="s">
        <v>13</v>
      </c>
      <c r="O560" s="7" t="str">
        <f>IF(BudgetsTable[[#This Row],[pi_last_name]]=" ","",HYPERLINK("mailto:"&amp;BudgetsTable[[#This Row],[pi_email]]&amp;"&amp;subject=Your NSF Proposal:  "&amp;BudgetsTable[[#This Row],[prop_id]],BudgetsTable[[#This Row],[pi_email]]))</f>
        <v/>
      </c>
      <c r="P560" s="128" t="s">
        <v>13</v>
      </c>
      <c r="Q560" s="128">
        <v>1</v>
      </c>
      <c r="R560" s="128">
        <v>1</v>
      </c>
      <c r="S560" s="129">
        <v>0</v>
      </c>
      <c r="T560" s="129">
        <v>7485</v>
      </c>
      <c r="U560" s="129">
        <v>1100</v>
      </c>
      <c r="V560" s="130">
        <v>121969</v>
      </c>
      <c r="W560" s="128">
        <v>0</v>
      </c>
      <c r="X560" s="128">
        <v>2</v>
      </c>
      <c r="Y560" s="131" t="str">
        <f ca="1">IF(ISBLANK(BudgetsTable[[#This Row],[budg_seq_yr]]),"FY"&amp;fiscalyear,"FY"&amp;fiscalyear-1+BudgetsTable[[#This Row],[budg_seq_yr]])</f>
        <v>FY19</v>
      </c>
      <c r="Z560" s="129">
        <v>121969</v>
      </c>
      <c r="AA560" s="128" t="s">
        <v>741</v>
      </c>
      <c r="AB560" s="128" t="s">
        <v>528</v>
      </c>
      <c r="AC560" s="126" t="s">
        <v>94</v>
      </c>
      <c r="AD560" s="128" t="s">
        <v>751</v>
      </c>
    </row>
    <row r="561" spans="1:30">
      <c r="A561" s="125" t="s">
        <v>695</v>
      </c>
      <c r="B561" s="126" t="s">
        <v>96</v>
      </c>
      <c r="C561" s="126">
        <f>C560+(BudgetsTable[[#This Row],[lead]]&lt;&gt;K560)</f>
        <v>108</v>
      </c>
      <c r="D561" s="126">
        <f>D560*(BudgetsTable[[#This Row],[lead]]=K560)+(BudgetsTable[[#This Row],[prop_id]]&lt;&gt;A560)</f>
        <v>1</v>
      </c>
      <c r="E561" s="127">
        <v>42935.696527777778</v>
      </c>
      <c r="F561" s="128" t="s">
        <v>242</v>
      </c>
      <c r="G561" s="128" t="s">
        <v>741</v>
      </c>
      <c r="H561" s="128" t="s">
        <v>528</v>
      </c>
      <c r="I561" s="126" t="s">
        <v>540</v>
      </c>
      <c r="J561" s="126" t="s">
        <v>13</v>
      </c>
      <c r="K561" s="128" t="s">
        <v>695</v>
      </c>
      <c r="L561" s="7" t="str">
        <f>IF(BudgetsTable[[#This Row],[pi_last_name]]=" ","",HYPERLINK("https://www.ejacket.nsf.gov/ej/showProposal.do?Continue=Y&amp;ID="&amp;BudgetsTable[[#This Row],[prop_id]],BudgetsTable[[#This Row],[prop_id]]))</f>
        <v/>
      </c>
      <c r="M561" s="15" t="str">
        <f>IF(BudgetsTable[[#This Row],[pi_last_name]]=" ","",HYPERLINK("https://www.ejacket.nsf.gov/ej/processReviewAnalysis.do?dispatch=add&amp;uniqId="&amp;BudgetsTable[[#This Row],[prop_id]]&amp;PO_id,"&gt;ra"))</f>
        <v/>
      </c>
      <c r="N561" s="128" t="s">
        <v>13</v>
      </c>
      <c r="O561" s="7" t="str">
        <f>IF(BudgetsTable[[#This Row],[pi_last_name]]=" ","",HYPERLINK("mailto:"&amp;BudgetsTable[[#This Row],[pi_email]]&amp;"&amp;subject=Your NSF Proposal:  "&amp;BudgetsTable[[#This Row],[prop_id]],BudgetsTable[[#This Row],[pi_email]]))</f>
        <v/>
      </c>
      <c r="P561" s="128" t="s">
        <v>13</v>
      </c>
      <c r="Q561" s="128">
        <v>1</v>
      </c>
      <c r="R561" s="128">
        <v>1</v>
      </c>
      <c r="S561" s="129">
        <v>0</v>
      </c>
      <c r="T561" s="129">
        <v>7709</v>
      </c>
      <c r="U561" s="129">
        <v>1100</v>
      </c>
      <c r="V561" s="130">
        <v>128760</v>
      </c>
      <c r="W561" s="128">
        <v>0</v>
      </c>
      <c r="X561" s="128">
        <v>3</v>
      </c>
      <c r="Y561" s="131" t="str">
        <f ca="1">IF(ISBLANK(BudgetsTable[[#This Row],[budg_seq_yr]]),"FY"&amp;fiscalyear,"FY"&amp;fiscalyear-1+BudgetsTable[[#This Row],[budg_seq_yr]])</f>
        <v>FY20</v>
      </c>
      <c r="Z561" s="129">
        <v>128760</v>
      </c>
      <c r="AA561" s="128" t="s">
        <v>741</v>
      </c>
      <c r="AB561" s="128" t="s">
        <v>528</v>
      </c>
      <c r="AC561" s="126" t="s">
        <v>94</v>
      </c>
      <c r="AD561" s="128" t="s">
        <v>751</v>
      </c>
    </row>
    <row r="562" spans="1:30">
      <c r="A562" s="125" t="s">
        <v>695</v>
      </c>
      <c r="B562" s="126" t="s">
        <v>96</v>
      </c>
      <c r="C562" s="126">
        <f>C561+(BudgetsTable[[#This Row],[lead]]&lt;&gt;K561)</f>
        <v>108</v>
      </c>
      <c r="D562" s="126">
        <f>D561*(BudgetsTable[[#This Row],[lead]]=K561)+(BudgetsTable[[#This Row],[prop_id]]&lt;&gt;A561)</f>
        <v>1</v>
      </c>
      <c r="E562" s="127">
        <v>42935.696527777778</v>
      </c>
      <c r="F562" s="128" t="s">
        <v>242</v>
      </c>
      <c r="G562" s="128" t="s">
        <v>741</v>
      </c>
      <c r="H562" s="128" t="s">
        <v>528</v>
      </c>
      <c r="I562" s="126" t="s">
        <v>540</v>
      </c>
      <c r="J562" s="126" t="s">
        <v>13</v>
      </c>
      <c r="K562" s="128" t="s">
        <v>695</v>
      </c>
      <c r="L562" s="7" t="str">
        <f>IF(BudgetsTable[[#This Row],[pi_last_name]]=" ","",HYPERLINK("https://www.ejacket.nsf.gov/ej/showProposal.do?Continue=Y&amp;ID="&amp;BudgetsTable[[#This Row],[prop_id]],BudgetsTable[[#This Row],[prop_id]]))</f>
        <v/>
      </c>
      <c r="M562" s="15" t="str">
        <f>IF(BudgetsTable[[#This Row],[pi_last_name]]=" ","",HYPERLINK("https://www.ejacket.nsf.gov/ej/processReviewAnalysis.do?dispatch=add&amp;uniqId="&amp;BudgetsTable[[#This Row],[prop_id]]&amp;PO_id,"&gt;ra"))</f>
        <v/>
      </c>
      <c r="N562" s="128" t="s">
        <v>13</v>
      </c>
      <c r="O562" s="7" t="str">
        <f>IF(BudgetsTable[[#This Row],[pi_last_name]]=" ","",HYPERLINK("mailto:"&amp;BudgetsTable[[#This Row],[pi_email]]&amp;"&amp;subject=Your NSF Proposal:  "&amp;BudgetsTable[[#This Row],[prop_id]],BudgetsTable[[#This Row],[pi_email]]))</f>
        <v/>
      </c>
      <c r="P562" s="128" t="s">
        <v>13</v>
      </c>
      <c r="Q562" s="128">
        <v>1</v>
      </c>
      <c r="R562" s="128">
        <v>1</v>
      </c>
      <c r="S562" s="129">
        <v>0</v>
      </c>
      <c r="T562" s="129">
        <v>7939</v>
      </c>
      <c r="U562" s="129">
        <v>1100</v>
      </c>
      <c r="V562" s="130">
        <v>134130</v>
      </c>
      <c r="W562" s="128">
        <v>0</v>
      </c>
      <c r="X562" s="128">
        <v>4</v>
      </c>
      <c r="Y562" s="131" t="str">
        <f ca="1">IF(ISBLANK(BudgetsTable[[#This Row],[budg_seq_yr]]),"FY"&amp;fiscalyear,"FY"&amp;fiscalyear-1+BudgetsTable[[#This Row],[budg_seq_yr]])</f>
        <v>FY21</v>
      </c>
      <c r="Z562" s="129">
        <v>134130</v>
      </c>
      <c r="AA562" s="128" t="s">
        <v>741</v>
      </c>
      <c r="AB562" s="128" t="s">
        <v>528</v>
      </c>
      <c r="AC562" s="126" t="s">
        <v>94</v>
      </c>
      <c r="AD562" s="128" t="s">
        <v>751</v>
      </c>
    </row>
    <row r="563" spans="1:30">
      <c r="A563" s="125" t="s">
        <v>695</v>
      </c>
      <c r="B563" s="126" t="s">
        <v>96</v>
      </c>
      <c r="C563" s="126">
        <f>C562+(BudgetsTable[[#This Row],[lead]]&lt;&gt;K562)</f>
        <v>108</v>
      </c>
      <c r="D563" s="126">
        <f>D562*(BudgetsTable[[#This Row],[lead]]=K562)+(BudgetsTable[[#This Row],[prop_id]]&lt;&gt;A562)</f>
        <v>1</v>
      </c>
      <c r="E563" s="127">
        <v>42935.696527777778</v>
      </c>
      <c r="F563" s="128" t="s">
        <v>242</v>
      </c>
      <c r="G563" s="128" t="s">
        <v>741</v>
      </c>
      <c r="H563" s="128" t="s">
        <v>528</v>
      </c>
      <c r="I563" s="126" t="s">
        <v>540</v>
      </c>
      <c r="J563" s="126" t="s">
        <v>13</v>
      </c>
      <c r="K563" s="128" t="s">
        <v>695</v>
      </c>
      <c r="L563" s="7" t="str">
        <f>IF(BudgetsTable[[#This Row],[pi_last_name]]=" ","",HYPERLINK("https://www.ejacket.nsf.gov/ej/showProposal.do?Continue=Y&amp;ID="&amp;BudgetsTable[[#This Row],[prop_id]],BudgetsTable[[#This Row],[prop_id]]))</f>
        <v/>
      </c>
      <c r="M563" s="15" t="str">
        <f>IF(BudgetsTable[[#This Row],[pi_last_name]]=" ","",HYPERLINK("https://www.ejacket.nsf.gov/ej/processReviewAnalysis.do?dispatch=add&amp;uniqId="&amp;BudgetsTable[[#This Row],[prop_id]]&amp;PO_id,"&gt;ra"))</f>
        <v/>
      </c>
      <c r="N563" s="128" t="s">
        <v>13</v>
      </c>
      <c r="O563" s="7" t="str">
        <f>IF(BudgetsTable[[#This Row],[pi_last_name]]=" ","",HYPERLINK("mailto:"&amp;BudgetsTable[[#This Row],[pi_email]]&amp;"&amp;subject=Your NSF Proposal:  "&amp;BudgetsTable[[#This Row],[prop_id]],BudgetsTable[[#This Row],[pi_email]]))</f>
        <v/>
      </c>
      <c r="P563" s="128" t="s">
        <v>13</v>
      </c>
      <c r="Q563" s="128">
        <v>1</v>
      </c>
      <c r="R563" s="128">
        <v>1</v>
      </c>
      <c r="S563" s="129">
        <v>0</v>
      </c>
      <c r="T563" s="129">
        <v>0</v>
      </c>
      <c r="U563" s="129">
        <v>1100</v>
      </c>
      <c r="V563" s="130">
        <v>127695</v>
      </c>
      <c r="W563" s="128">
        <v>0</v>
      </c>
      <c r="X563" s="128">
        <v>5</v>
      </c>
      <c r="Y563" s="131" t="str">
        <f ca="1">IF(ISBLANK(BudgetsTable[[#This Row],[budg_seq_yr]]),"FY"&amp;fiscalyear,"FY"&amp;fiscalyear-1+BudgetsTable[[#This Row],[budg_seq_yr]])</f>
        <v>FY22</v>
      </c>
      <c r="Z563" s="129">
        <v>127695</v>
      </c>
      <c r="AA563" s="128" t="s">
        <v>741</v>
      </c>
      <c r="AB563" s="128" t="s">
        <v>528</v>
      </c>
      <c r="AC563" s="126" t="s">
        <v>94</v>
      </c>
      <c r="AD563" s="128" t="s">
        <v>751</v>
      </c>
    </row>
    <row r="564" spans="1:30">
      <c r="A564" s="125" t="s">
        <v>1788</v>
      </c>
      <c r="B564" s="126" t="s">
        <v>96</v>
      </c>
      <c r="C564" s="126">
        <f>C563+(BudgetsTable[[#This Row],[lead]]&lt;&gt;K563)</f>
        <v>109</v>
      </c>
      <c r="D564" s="126">
        <f>D563*(BudgetsTable[[#This Row],[lead]]=K563)+(BudgetsTable[[#This Row],[prop_id]]&lt;&gt;A563)</f>
        <v>1</v>
      </c>
      <c r="E564" s="127">
        <v>42935.70416666667</v>
      </c>
      <c r="F564" s="128" t="s">
        <v>242</v>
      </c>
      <c r="G564" s="128" t="s">
        <v>741</v>
      </c>
      <c r="H564" s="128" t="s">
        <v>528</v>
      </c>
      <c r="I564" s="126" t="s">
        <v>1530</v>
      </c>
      <c r="J564" s="126" t="s">
        <v>2455</v>
      </c>
      <c r="K564" s="128" t="s">
        <v>1788</v>
      </c>
      <c r="L564" s="7" t="str">
        <f>IF(BudgetsTable[[#This Row],[pi_last_name]]=" ","",HYPERLINK("https://www.ejacket.nsf.gov/ej/showProposal.do?Continue=Y&amp;ID="&amp;BudgetsTable[[#This Row],[prop_id]],BudgetsTable[[#This Row],[prop_id]]))</f>
        <v>1751181</v>
      </c>
      <c r="M564" s="15" t="str">
        <f>IF(BudgetsTable[[#This Row],[pi_last_name]]=" ","",HYPERLINK("https://www.ejacket.nsf.gov/ej/processReviewAnalysis.do?dispatch=add&amp;uniqId="&amp;BudgetsTable[[#This Row],[prop_id]]&amp;PO_id,"&gt;ra"))</f>
        <v>&gt;ra</v>
      </c>
      <c r="N564" s="128" t="s">
        <v>1789</v>
      </c>
      <c r="O564" s="7" t="str">
        <f>IF(BudgetsTable[[#This Row],[pi_last_name]]=" ","",HYPERLINK("mailto:"&amp;BudgetsTable[[#This Row],[pi_email]]&amp;"&amp;subject=Your NSF Proposal:  "&amp;BudgetsTable[[#This Row],[prop_id]],BudgetsTable[[#This Row],[pi_email]]))</f>
        <v>maxwelly@outlook.com</v>
      </c>
      <c r="P564" s="128" t="s">
        <v>2452</v>
      </c>
      <c r="Q564" s="128"/>
      <c r="R564" s="128"/>
      <c r="S564" s="129"/>
      <c r="T564" s="129"/>
      <c r="U564" s="129"/>
      <c r="V564" s="130"/>
      <c r="W564" s="128">
        <v>0</v>
      </c>
      <c r="X564" s="128"/>
      <c r="Y564" s="131" t="str">
        <f ca="1">IF(ISBLANK(BudgetsTable[[#This Row],[budg_seq_yr]]),"FY"&amp;fiscalyear,"FY"&amp;fiscalyear-1+BudgetsTable[[#This Row],[budg_seq_yr]])</f>
        <v>FY18</v>
      </c>
      <c r="Z564" s="129">
        <v>400000</v>
      </c>
      <c r="AA564" s="128" t="s">
        <v>741</v>
      </c>
      <c r="AB564" s="128" t="s">
        <v>528</v>
      </c>
      <c r="AC564" s="126" t="s">
        <v>94</v>
      </c>
      <c r="AD564" s="128" t="s">
        <v>2450</v>
      </c>
    </row>
    <row r="565" spans="1:30">
      <c r="A565" s="125" t="s">
        <v>1788</v>
      </c>
      <c r="B565" s="126" t="s">
        <v>96</v>
      </c>
      <c r="C565" s="126">
        <f>C564+(BudgetsTable[[#This Row],[lead]]&lt;&gt;K564)</f>
        <v>109</v>
      </c>
      <c r="D565" s="126">
        <f>D564*(BudgetsTable[[#This Row],[lead]]=K564)+(BudgetsTable[[#This Row],[prop_id]]&lt;&gt;A564)</f>
        <v>1</v>
      </c>
      <c r="E565" s="127">
        <v>42935.70416666667</v>
      </c>
      <c r="F565" s="128" t="s">
        <v>242</v>
      </c>
      <c r="G565" s="128" t="s">
        <v>741</v>
      </c>
      <c r="H565" s="128" t="s">
        <v>528</v>
      </c>
      <c r="I565" s="126" t="s">
        <v>1530</v>
      </c>
      <c r="J565" s="126" t="s">
        <v>13</v>
      </c>
      <c r="K565" s="128" t="s">
        <v>1788</v>
      </c>
      <c r="L565" s="7" t="str">
        <f>IF(BudgetsTable[[#This Row],[pi_last_name]]=" ","",HYPERLINK("https://www.ejacket.nsf.gov/ej/showProposal.do?Continue=Y&amp;ID="&amp;BudgetsTable[[#This Row],[prop_id]],BudgetsTable[[#This Row],[prop_id]]))</f>
        <v/>
      </c>
      <c r="M565" s="15" t="str">
        <f>IF(BudgetsTable[[#This Row],[pi_last_name]]=" ","",HYPERLINK("https://www.ejacket.nsf.gov/ej/processReviewAnalysis.do?dispatch=add&amp;uniqId="&amp;BudgetsTable[[#This Row],[prop_id]]&amp;PO_id,"&gt;ra"))</f>
        <v/>
      </c>
      <c r="N565" s="128" t="s">
        <v>13</v>
      </c>
      <c r="O565" s="7" t="str">
        <f>IF(BudgetsTable[[#This Row],[pi_last_name]]=" ","",HYPERLINK("mailto:"&amp;BudgetsTable[[#This Row],[pi_email]]&amp;"&amp;subject=Your NSF Proposal:  "&amp;BudgetsTable[[#This Row],[prop_id]],BudgetsTable[[#This Row],[pi_email]]))</f>
        <v/>
      </c>
      <c r="P565" s="128" t="s">
        <v>13</v>
      </c>
      <c r="Q565" s="128">
        <v>1</v>
      </c>
      <c r="R565" s="128">
        <v>0.5</v>
      </c>
      <c r="S565" s="129">
        <v>0</v>
      </c>
      <c r="T565" s="129">
        <v>3000</v>
      </c>
      <c r="U565" s="129">
        <v>0</v>
      </c>
      <c r="V565" s="130">
        <v>79592</v>
      </c>
      <c r="W565" s="128">
        <v>0</v>
      </c>
      <c r="X565" s="128">
        <v>1</v>
      </c>
      <c r="Y565" s="131" t="str">
        <f ca="1">IF(ISBLANK(BudgetsTable[[#This Row],[budg_seq_yr]]),"FY"&amp;fiscalyear,"FY"&amp;fiscalyear-1+BudgetsTable[[#This Row],[budg_seq_yr]])</f>
        <v>FY18</v>
      </c>
      <c r="Z565" s="129">
        <v>79592</v>
      </c>
      <c r="AA565" s="128" t="s">
        <v>741</v>
      </c>
      <c r="AB565" s="128" t="s">
        <v>528</v>
      </c>
      <c r="AC565" s="126" t="s">
        <v>94</v>
      </c>
      <c r="AD565" s="128" t="s">
        <v>2450</v>
      </c>
    </row>
    <row r="566" spans="1:30">
      <c r="A566" s="125" t="s">
        <v>1788</v>
      </c>
      <c r="B566" s="126" t="s">
        <v>96</v>
      </c>
      <c r="C566" s="126">
        <f>C565+(BudgetsTable[[#This Row],[lead]]&lt;&gt;K565)</f>
        <v>109</v>
      </c>
      <c r="D566" s="126">
        <f>D565*(BudgetsTable[[#This Row],[lead]]=K565)+(BudgetsTable[[#This Row],[prop_id]]&lt;&gt;A565)</f>
        <v>1</v>
      </c>
      <c r="E566" s="127">
        <v>42935.70416666667</v>
      </c>
      <c r="F566" s="128" t="s">
        <v>242</v>
      </c>
      <c r="G566" s="128" t="s">
        <v>741</v>
      </c>
      <c r="H566" s="128" t="s">
        <v>528</v>
      </c>
      <c r="I566" s="126" t="s">
        <v>1530</v>
      </c>
      <c r="J566" s="126" t="s">
        <v>13</v>
      </c>
      <c r="K566" s="128" t="s">
        <v>1788</v>
      </c>
      <c r="L566" s="7" t="str">
        <f>IF(BudgetsTable[[#This Row],[pi_last_name]]=" ","",HYPERLINK("https://www.ejacket.nsf.gov/ej/showProposal.do?Continue=Y&amp;ID="&amp;BudgetsTable[[#This Row],[prop_id]],BudgetsTable[[#This Row],[prop_id]]))</f>
        <v/>
      </c>
      <c r="M566" s="15" t="str">
        <f>IF(BudgetsTable[[#This Row],[pi_last_name]]=" ","",HYPERLINK("https://www.ejacket.nsf.gov/ej/processReviewAnalysis.do?dispatch=add&amp;uniqId="&amp;BudgetsTable[[#This Row],[prop_id]]&amp;PO_id,"&gt;ra"))</f>
        <v/>
      </c>
      <c r="N566" s="128" t="s">
        <v>13</v>
      </c>
      <c r="O566" s="7" t="str">
        <f>IF(BudgetsTable[[#This Row],[pi_last_name]]=" ","",HYPERLINK("mailto:"&amp;BudgetsTable[[#This Row],[pi_email]]&amp;"&amp;subject=Your NSF Proposal:  "&amp;BudgetsTable[[#This Row],[prop_id]],BudgetsTable[[#This Row],[pi_email]]))</f>
        <v/>
      </c>
      <c r="P566" s="128" t="s">
        <v>13</v>
      </c>
      <c r="Q566" s="128">
        <v>1</v>
      </c>
      <c r="R566" s="128">
        <v>0.5</v>
      </c>
      <c r="S566" s="129">
        <v>0</v>
      </c>
      <c r="T566" s="129">
        <v>3000</v>
      </c>
      <c r="U566" s="129">
        <v>0</v>
      </c>
      <c r="V566" s="130">
        <v>80758</v>
      </c>
      <c r="W566" s="128">
        <v>0</v>
      </c>
      <c r="X566" s="128">
        <v>2</v>
      </c>
      <c r="Y566" s="131" t="str">
        <f ca="1">IF(ISBLANK(BudgetsTable[[#This Row],[budg_seq_yr]]),"FY"&amp;fiscalyear,"FY"&amp;fiscalyear-1+BudgetsTable[[#This Row],[budg_seq_yr]])</f>
        <v>FY19</v>
      </c>
      <c r="Z566" s="129">
        <v>80758</v>
      </c>
      <c r="AA566" s="128" t="s">
        <v>741</v>
      </c>
      <c r="AB566" s="128" t="s">
        <v>528</v>
      </c>
      <c r="AC566" s="126" t="s">
        <v>94</v>
      </c>
      <c r="AD566" s="128" t="s">
        <v>2450</v>
      </c>
    </row>
    <row r="567" spans="1:30">
      <c r="A567" s="125" t="s">
        <v>1788</v>
      </c>
      <c r="B567" s="126" t="s">
        <v>96</v>
      </c>
      <c r="C567" s="126">
        <f>C566+(BudgetsTable[[#This Row],[lead]]&lt;&gt;K566)</f>
        <v>109</v>
      </c>
      <c r="D567" s="126">
        <f>D566*(BudgetsTable[[#This Row],[lead]]=K566)+(BudgetsTable[[#This Row],[prop_id]]&lt;&gt;A566)</f>
        <v>1</v>
      </c>
      <c r="E567" s="127">
        <v>42935.70416666667</v>
      </c>
      <c r="F567" s="128" t="s">
        <v>242</v>
      </c>
      <c r="G567" s="128" t="s">
        <v>741</v>
      </c>
      <c r="H567" s="128" t="s">
        <v>528</v>
      </c>
      <c r="I567" s="126" t="s">
        <v>1530</v>
      </c>
      <c r="J567" s="126" t="s">
        <v>13</v>
      </c>
      <c r="K567" s="128" t="s">
        <v>1788</v>
      </c>
      <c r="L567" s="7" t="str">
        <f>IF(BudgetsTable[[#This Row],[pi_last_name]]=" ","",HYPERLINK("https://www.ejacket.nsf.gov/ej/showProposal.do?Continue=Y&amp;ID="&amp;BudgetsTable[[#This Row],[prop_id]],BudgetsTable[[#This Row],[prop_id]]))</f>
        <v/>
      </c>
      <c r="M567" s="15" t="str">
        <f>IF(BudgetsTable[[#This Row],[pi_last_name]]=" ","",HYPERLINK("https://www.ejacket.nsf.gov/ej/processReviewAnalysis.do?dispatch=add&amp;uniqId="&amp;BudgetsTable[[#This Row],[prop_id]]&amp;PO_id,"&gt;ra"))</f>
        <v/>
      </c>
      <c r="N567" s="128" t="s">
        <v>13</v>
      </c>
      <c r="O567" s="7" t="str">
        <f>IF(BudgetsTable[[#This Row],[pi_last_name]]=" ","",HYPERLINK("mailto:"&amp;BudgetsTable[[#This Row],[pi_email]]&amp;"&amp;subject=Your NSF Proposal:  "&amp;BudgetsTable[[#This Row],[prop_id]],BudgetsTable[[#This Row],[pi_email]]))</f>
        <v/>
      </c>
      <c r="P567" s="128" t="s">
        <v>13</v>
      </c>
      <c r="Q567" s="128">
        <v>1</v>
      </c>
      <c r="R567" s="128">
        <v>0.5</v>
      </c>
      <c r="S567" s="129">
        <v>0</v>
      </c>
      <c r="T567" s="129">
        <v>3000</v>
      </c>
      <c r="U567" s="129">
        <v>0</v>
      </c>
      <c r="V567" s="130">
        <v>78586</v>
      </c>
      <c r="W567" s="128">
        <v>0</v>
      </c>
      <c r="X567" s="128">
        <v>3</v>
      </c>
      <c r="Y567" s="131" t="str">
        <f ca="1">IF(ISBLANK(BudgetsTable[[#This Row],[budg_seq_yr]]),"FY"&amp;fiscalyear,"FY"&amp;fiscalyear-1+BudgetsTable[[#This Row],[budg_seq_yr]])</f>
        <v>FY20</v>
      </c>
      <c r="Z567" s="129">
        <v>78586</v>
      </c>
      <c r="AA567" s="128" t="s">
        <v>741</v>
      </c>
      <c r="AB567" s="128" t="s">
        <v>528</v>
      </c>
      <c r="AC567" s="126" t="s">
        <v>94</v>
      </c>
      <c r="AD567" s="128" t="s">
        <v>2450</v>
      </c>
    </row>
    <row r="568" spans="1:30">
      <c r="A568" s="125" t="s">
        <v>1788</v>
      </c>
      <c r="B568" s="126" t="s">
        <v>96</v>
      </c>
      <c r="C568" s="126">
        <f>C567+(BudgetsTable[[#This Row],[lead]]&lt;&gt;K567)</f>
        <v>109</v>
      </c>
      <c r="D568" s="126">
        <f>D567*(BudgetsTable[[#This Row],[lead]]=K567)+(BudgetsTable[[#This Row],[prop_id]]&lt;&gt;A567)</f>
        <v>1</v>
      </c>
      <c r="E568" s="127">
        <v>42935.70416666667</v>
      </c>
      <c r="F568" s="128" t="s">
        <v>242</v>
      </c>
      <c r="G568" s="128" t="s">
        <v>741</v>
      </c>
      <c r="H568" s="128" t="s">
        <v>528</v>
      </c>
      <c r="I568" s="126" t="s">
        <v>1530</v>
      </c>
      <c r="J568" s="126" t="s">
        <v>13</v>
      </c>
      <c r="K568" s="128" t="s">
        <v>1788</v>
      </c>
      <c r="L568" s="7" t="str">
        <f>IF(BudgetsTable[[#This Row],[pi_last_name]]=" ","",HYPERLINK("https://www.ejacket.nsf.gov/ej/showProposal.do?Continue=Y&amp;ID="&amp;BudgetsTable[[#This Row],[prop_id]],BudgetsTable[[#This Row],[prop_id]]))</f>
        <v/>
      </c>
      <c r="M568" s="15" t="str">
        <f>IF(BudgetsTable[[#This Row],[pi_last_name]]=" ","",HYPERLINK("https://www.ejacket.nsf.gov/ej/processReviewAnalysis.do?dispatch=add&amp;uniqId="&amp;BudgetsTable[[#This Row],[prop_id]]&amp;PO_id,"&gt;ra"))</f>
        <v/>
      </c>
      <c r="N568" s="128" t="s">
        <v>13</v>
      </c>
      <c r="O568" s="7" t="str">
        <f>IF(BudgetsTable[[#This Row],[pi_last_name]]=" ","",HYPERLINK("mailto:"&amp;BudgetsTable[[#This Row],[pi_email]]&amp;"&amp;subject=Your NSF Proposal:  "&amp;BudgetsTable[[#This Row],[prop_id]],BudgetsTable[[#This Row],[pi_email]]))</f>
        <v/>
      </c>
      <c r="P568" s="128" t="s">
        <v>13</v>
      </c>
      <c r="Q568" s="128">
        <v>1</v>
      </c>
      <c r="R568" s="128">
        <v>0.5</v>
      </c>
      <c r="S568" s="129">
        <v>0</v>
      </c>
      <c r="T568" s="129">
        <v>3000</v>
      </c>
      <c r="U568" s="129">
        <v>0</v>
      </c>
      <c r="V568" s="130">
        <v>79863</v>
      </c>
      <c r="W568" s="128">
        <v>0</v>
      </c>
      <c r="X568" s="128">
        <v>4</v>
      </c>
      <c r="Y568" s="131" t="str">
        <f ca="1">IF(ISBLANK(BudgetsTable[[#This Row],[budg_seq_yr]]),"FY"&amp;fiscalyear,"FY"&amp;fiscalyear-1+BudgetsTable[[#This Row],[budg_seq_yr]])</f>
        <v>FY21</v>
      </c>
      <c r="Z568" s="129">
        <v>79863</v>
      </c>
      <c r="AA568" s="128" t="s">
        <v>741</v>
      </c>
      <c r="AB568" s="128" t="s">
        <v>528</v>
      </c>
      <c r="AC568" s="126" t="s">
        <v>94</v>
      </c>
      <c r="AD568" s="128" t="s">
        <v>2450</v>
      </c>
    </row>
    <row r="569" spans="1:30">
      <c r="A569" s="125" t="s">
        <v>1788</v>
      </c>
      <c r="B569" s="126" t="s">
        <v>96</v>
      </c>
      <c r="C569" s="126">
        <f>C568+(BudgetsTable[[#This Row],[lead]]&lt;&gt;K568)</f>
        <v>109</v>
      </c>
      <c r="D569" s="126">
        <f>D568*(BudgetsTable[[#This Row],[lead]]=K568)+(BudgetsTable[[#This Row],[prop_id]]&lt;&gt;A568)</f>
        <v>1</v>
      </c>
      <c r="E569" s="127">
        <v>42935.70416666667</v>
      </c>
      <c r="F569" s="128" t="s">
        <v>242</v>
      </c>
      <c r="G569" s="128" t="s">
        <v>741</v>
      </c>
      <c r="H569" s="128" t="s">
        <v>528</v>
      </c>
      <c r="I569" s="126" t="s">
        <v>1530</v>
      </c>
      <c r="J569" s="126" t="s">
        <v>13</v>
      </c>
      <c r="K569" s="128" t="s">
        <v>1788</v>
      </c>
      <c r="L569" s="7" t="str">
        <f>IF(BudgetsTable[[#This Row],[pi_last_name]]=" ","",HYPERLINK("https://www.ejacket.nsf.gov/ej/showProposal.do?Continue=Y&amp;ID="&amp;BudgetsTable[[#This Row],[prop_id]],BudgetsTable[[#This Row],[prop_id]]))</f>
        <v/>
      </c>
      <c r="M569" s="15" t="str">
        <f>IF(BudgetsTable[[#This Row],[pi_last_name]]=" ","",HYPERLINK("https://www.ejacket.nsf.gov/ej/processReviewAnalysis.do?dispatch=add&amp;uniqId="&amp;BudgetsTable[[#This Row],[prop_id]]&amp;PO_id,"&gt;ra"))</f>
        <v/>
      </c>
      <c r="N569" s="128" t="s">
        <v>13</v>
      </c>
      <c r="O569" s="7" t="str">
        <f>IF(BudgetsTable[[#This Row],[pi_last_name]]=" ","",HYPERLINK("mailto:"&amp;BudgetsTable[[#This Row],[pi_email]]&amp;"&amp;subject=Your NSF Proposal:  "&amp;BudgetsTable[[#This Row],[prop_id]],BudgetsTable[[#This Row],[pi_email]]))</f>
        <v/>
      </c>
      <c r="P569" s="128" t="s">
        <v>13</v>
      </c>
      <c r="Q569" s="128">
        <v>1</v>
      </c>
      <c r="R569" s="128">
        <v>0.5</v>
      </c>
      <c r="S569" s="129">
        <v>0</v>
      </c>
      <c r="T569" s="129">
        <v>3000</v>
      </c>
      <c r="U569" s="129">
        <v>0</v>
      </c>
      <c r="V569" s="130">
        <v>81201</v>
      </c>
      <c r="W569" s="128">
        <v>0</v>
      </c>
      <c r="X569" s="128">
        <v>5</v>
      </c>
      <c r="Y569" s="131" t="str">
        <f ca="1">IF(ISBLANK(BudgetsTable[[#This Row],[budg_seq_yr]]),"FY"&amp;fiscalyear,"FY"&amp;fiscalyear-1+BudgetsTable[[#This Row],[budg_seq_yr]])</f>
        <v>FY22</v>
      </c>
      <c r="Z569" s="129">
        <v>81201</v>
      </c>
      <c r="AA569" s="128" t="s">
        <v>741</v>
      </c>
      <c r="AB569" s="128" t="s">
        <v>528</v>
      </c>
      <c r="AC569" s="126" t="s">
        <v>94</v>
      </c>
      <c r="AD569" s="128" t="s">
        <v>2450</v>
      </c>
    </row>
    <row r="570" spans="1:30">
      <c r="A570" s="125" t="s">
        <v>1796</v>
      </c>
      <c r="B570" s="126" t="s">
        <v>96</v>
      </c>
      <c r="C570" s="126">
        <f>C569+(BudgetsTable[[#This Row],[lead]]&lt;&gt;K569)</f>
        <v>110</v>
      </c>
      <c r="D570" s="126">
        <f>D569*(BudgetsTable[[#This Row],[lead]]=K569)+(BudgetsTable[[#This Row],[prop_id]]&lt;&gt;A569)</f>
        <v>1</v>
      </c>
      <c r="E570" s="127">
        <v>42935.717361111114</v>
      </c>
      <c r="F570" s="128" t="s">
        <v>242</v>
      </c>
      <c r="G570" s="128" t="s">
        <v>741</v>
      </c>
      <c r="H570" s="128" t="s">
        <v>528</v>
      </c>
      <c r="I570" s="126" t="s">
        <v>543</v>
      </c>
      <c r="J570" s="126" t="s">
        <v>2458</v>
      </c>
      <c r="K570" s="128" t="s">
        <v>1796</v>
      </c>
      <c r="L570" s="7" t="str">
        <f>IF(BudgetsTable[[#This Row],[pi_last_name]]=" ","",HYPERLINK("https://www.ejacket.nsf.gov/ej/showProposal.do?Continue=Y&amp;ID="&amp;BudgetsTable[[#This Row],[prop_id]],BudgetsTable[[#This Row],[prop_id]]))</f>
        <v>1751234</v>
      </c>
      <c r="M570" s="15" t="str">
        <f>IF(BudgetsTable[[#This Row],[pi_last_name]]=" ","",HYPERLINK("https://www.ejacket.nsf.gov/ej/processReviewAnalysis.do?dispatch=add&amp;uniqId="&amp;BudgetsTable[[#This Row],[prop_id]]&amp;PO_id,"&gt;ra"))</f>
        <v>&gt;ra</v>
      </c>
      <c r="N570" s="128" t="s">
        <v>1797</v>
      </c>
      <c r="O570" s="7" t="str">
        <f>IF(BudgetsTable[[#This Row],[pi_last_name]]=" ","",HYPERLINK("mailto:"&amp;BudgetsTable[[#This Row],[pi_email]]&amp;"&amp;subject=Your NSF Proposal:  "&amp;BudgetsTable[[#This Row],[prop_id]],BudgetsTable[[#This Row],[pi_email]]))</f>
        <v>bhaskara@cs.utah.edu</v>
      </c>
      <c r="P570" s="128" t="s">
        <v>2193</v>
      </c>
      <c r="Q570" s="128"/>
      <c r="R570" s="128"/>
      <c r="S570" s="129"/>
      <c r="T570" s="129"/>
      <c r="U570" s="129"/>
      <c r="V570" s="130"/>
      <c r="W570" s="128">
        <v>0</v>
      </c>
      <c r="X570" s="128"/>
      <c r="Y570" s="131" t="str">
        <f ca="1">IF(ISBLANK(BudgetsTable[[#This Row],[budg_seq_yr]]),"FY"&amp;fiscalyear,"FY"&amp;fiscalyear-1+BudgetsTable[[#This Row],[budg_seq_yr]])</f>
        <v>FY18</v>
      </c>
      <c r="Z570" s="129">
        <v>536841</v>
      </c>
      <c r="AA570" s="128" t="s">
        <v>741</v>
      </c>
      <c r="AB570" s="128" t="s">
        <v>528</v>
      </c>
      <c r="AC570" s="126" t="s">
        <v>94</v>
      </c>
      <c r="AD570" s="128" t="s">
        <v>2365</v>
      </c>
    </row>
    <row r="571" spans="1:30">
      <c r="A571" s="125" t="s">
        <v>1796</v>
      </c>
      <c r="B571" s="126" t="s">
        <v>96</v>
      </c>
      <c r="C571" s="126">
        <f>C570+(BudgetsTable[[#This Row],[lead]]&lt;&gt;K570)</f>
        <v>110</v>
      </c>
      <c r="D571" s="126">
        <f>D570*(BudgetsTable[[#This Row],[lead]]=K570)+(BudgetsTable[[#This Row],[prop_id]]&lt;&gt;A570)</f>
        <v>1</v>
      </c>
      <c r="E571" s="127">
        <v>42935.717361111114</v>
      </c>
      <c r="F571" s="128" t="s">
        <v>242</v>
      </c>
      <c r="G571" s="128" t="s">
        <v>741</v>
      </c>
      <c r="H571" s="128" t="s">
        <v>528</v>
      </c>
      <c r="I571" s="126" t="s">
        <v>543</v>
      </c>
      <c r="J571" s="126" t="s">
        <v>13</v>
      </c>
      <c r="K571" s="128" t="s">
        <v>1796</v>
      </c>
      <c r="L571" s="7" t="str">
        <f>IF(BudgetsTable[[#This Row],[pi_last_name]]=" ","",HYPERLINK("https://www.ejacket.nsf.gov/ej/showProposal.do?Continue=Y&amp;ID="&amp;BudgetsTable[[#This Row],[prop_id]],BudgetsTable[[#This Row],[prop_id]]))</f>
        <v/>
      </c>
      <c r="M571" s="15" t="str">
        <f>IF(BudgetsTable[[#This Row],[pi_last_name]]=" ","",HYPERLINK("https://www.ejacket.nsf.gov/ej/processReviewAnalysis.do?dispatch=add&amp;uniqId="&amp;BudgetsTable[[#This Row],[prop_id]]&amp;PO_id,"&gt;ra"))</f>
        <v/>
      </c>
      <c r="N571" s="128" t="s">
        <v>13</v>
      </c>
      <c r="O571" s="7" t="str">
        <f>IF(BudgetsTable[[#This Row],[pi_last_name]]=" ","",HYPERLINK("mailto:"&amp;BudgetsTable[[#This Row],[pi_email]]&amp;"&amp;subject=Your NSF Proposal:  "&amp;BudgetsTable[[#This Row],[prop_id]],BudgetsTable[[#This Row],[pi_email]]))</f>
        <v/>
      </c>
      <c r="P571" s="128" t="s">
        <v>13</v>
      </c>
      <c r="Q571" s="128">
        <v>1</v>
      </c>
      <c r="R571" s="128">
        <v>1</v>
      </c>
      <c r="S571" s="129">
        <v>0</v>
      </c>
      <c r="T571" s="129">
        <v>5500</v>
      </c>
      <c r="U571" s="129">
        <v>4000</v>
      </c>
      <c r="V571" s="130">
        <v>105452</v>
      </c>
      <c r="W571" s="128">
        <v>0</v>
      </c>
      <c r="X571" s="128">
        <v>1</v>
      </c>
      <c r="Y571" s="131" t="str">
        <f ca="1">IF(ISBLANK(BudgetsTable[[#This Row],[budg_seq_yr]]),"FY"&amp;fiscalyear,"FY"&amp;fiscalyear-1+BudgetsTable[[#This Row],[budg_seq_yr]])</f>
        <v>FY18</v>
      </c>
      <c r="Z571" s="129">
        <v>105452</v>
      </c>
      <c r="AA571" s="128" t="s">
        <v>741</v>
      </c>
      <c r="AB571" s="128" t="s">
        <v>528</v>
      </c>
      <c r="AC571" s="126" t="s">
        <v>94</v>
      </c>
      <c r="AD571" s="128" t="s">
        <v>2365</v>
      </c>
    </row>
    <row r="572" spans="1:30">
      <c r="A572" s="125" t="s">
        <v>1796</v>
      </c>
      <c r="B572" s="126" t="s">
        <v>96</v>
      </c>
      <c r="C572" s="126">
        <f>C571+(BudgetsTable[[#This Row],[lead]]&lt;&gt;K571)</f>
        <v>110</v>
      </c>
      <c r="D572" s="126">
        <f>D571*(BudgetsTable[[#This Row],[lead]]=K571)+(BudgetsTable[[#This Row],[prop_id]]&lt;&gt;A571)</f>
        <v>1</v>
      </c>
      <c r="E572" s="127">
        <v>42935.717361111114</v>
      </c>
      <c r="F572" s="128" t="s">
        <v>242</v>
      </c>
      <c r="G572" s="128" t="s">
        <v>741</v>
      </c>
      <c r="H572" s="128" t="s">
        <v>528</v>
      </c>
      <c r="I572" s="126" t="s">
        <v>543</v>
      </c>
      <c r="J572" s="126" t="s">
        <v>13</v>
      </c>
      <c r="K572" s="128" t="s">
        <v>1796</v>
      </c>
      <c r="L572" s="7" t="str">
        <f>IF(BudgetsTable[[#This Row],[pi_last_name]]=" ","",HYPERLINK("https://www.ejacket.nsf.gov/ej/showProposal.do?Continue=Y&amp;ID="&amp;BudgetsTable[[#This Row],[prop_id]],BudgetsTable[[#This Row],[prop_id]]))</f>
        <v/>
      </c>
      <c r="M572" s="15" t="str">
        <f>IF(BudgetsTable[[#This Row],[pi_last_name]]=" ","",HYPERLINK("https://www.ejacket.nsf.gov/ej/processReviewAnalysis.do?dispatch=add&amp;uniqId="&amp;BudgetsTable[[#This Row],[prop_id]]&amp;PO_id,"&gt;ra"))</f>
        <v/>
      </c>
      <c r="N572" s="128" t="s">
        <v>13</v>
      </c>
      <c r="O572" s="7" t="str">
        <f>IF(BudgetsTable[[#This Row],[pi_last_name]]=" ","",HYPERLINK("mailto:"&amp;BudgetsTable[[#This Row],[pi_email]]&amp;"&amp;subject=Your NSF Proposal:  "&amp;BudgetsTable[[#This Row],[prop_id]],BudgetsTable[[#This Row],[pi_email]]))</f>
        <v/>
      </c>
      <c r="P572" s="128" t="s">
        <v>13</v>
      </c>
      <c r="Q572" s="128">
        <v>1</v>
      </c>
      <c r="R572" s="128">
        <v>1</v>
      </c>
      <c r="S572" s="129">
        <v>0</v>
      </c>
      <c r="T572" s="129">
        <v>5500</v>
      </c>
      <c r="U572" s="129">
        <v>4000</v>
      </c>
      <c r="V572" s="130">
        <v>104543</v>
      </c>
      <c r="W572" s="128">
        <v>0</v>
      </c>
      <c r="X572" s="128">
        <v>2</v>
      </c>
      <c r="Y572" s="131" t="str">
        <f ca="1">IF(ISBLANK(BudgetsTable[[#This Row],[budg_seq_yr]]),"FY"&amp;fiscalyear,"FY"&amp;fiscalyear-1+BudgetsTable[[#This Row],[budg_seq_yr]])</f>
        <v>FY19</v>
      </c>
      <c r="Z572" s="129">
        <v>104543</v>
      </c>
      <c r="AA572" s="128" t="s">
        <v>741</v>
      </c>
      <c r="AB572" s="128" t="s">
        <v>528</v>
      </c>
      <c r="AC572" s="126" t="s">
        <v>94</v>
      </c>
      <c r="AD572" s="128" t="s">
        <v>2365</v>
      </c>
    </row>
    <row r="573" spans="1:30">
      <c r="A573" s="125" t="s">
        <v>1796</v>
      </c>
      <c r="B573" s="126" t="s">
        <v>96</v>
      </c>
      <c r="C573" s="126">
        <f>C572+(BudgetsTable[[#This Row],[lead]]&lt;&gt;K572)</f>
        <v>110</v>
      </c>
      <c r="D573" s="126">
        <f>D572*(BudgetsTable[[#This Row],[lead]]=K572)+(BudgetsTable[[#This Row],[prop_id]]&lt;&gt;A572)</f>
        <v>1</v>
      </c>
      <c r="E573" s="127">
        <v>42935.717361111114</v>
      </c>
      <c r="F573" s="128" t="s">
        <v>242</v>
      </c>
      <c r="G573" s="128" t="s">
        <v>741</v>
      </c>
      <c r="H573" s="128" t="s">
        <v>528</v>
      </c>
      <c r="I573" s="126" t="s">
        <v>543</v>
      </c>
      <c r="J573" s="126" t="s">
        <v>13</v>
      </c>
      <c r="K573" s="128" t="s">
        <v>1796</v>
      </c>
      <c r="L573" s="7" t="str">
        <f>IF(BudgetsTable[[#This Row],[pi_last_name]]=" ","",HYPERLINK("https://www.ejacket.nsf.gov/ej/showProposal.do?Continue=Y&amp;ID="&amp;BudgetsTable[[#This Row],[prop_id]],BudgetsTable[[#This Row],[prop_id]]))</f>
        <v/>
      </c>
      <c r="M573" s="15" t="str">
        <f>IF(BudgetsTable[[#This Row],[pi_last_name]]=" ","",HYPERLINK("https://www.ejacket.nsf.gov/ej/processReviewAnalysis.do?dispatch=add&amp;uniqId="&amp;BudgetsTable[[#This Row],[prop_id]]&amp;PO_id,"&gt;ra"))</f>
        <v/>
      </c>
      <c r="N573" s="128" t="s">
        <v>13</v>
      </c>
      <c r="O573" s="7" t="str">
        <f>IF(BudgetsTable[[#This Row],[pi_last_name]]=" ","",HYPERLINK("mailto:"&amp;BudgetsTable[[#This Row],[pi_email]]&amp;"&amp;subject=Your NSF Proposal:  "&amp;BudgetsTable[[#This Row],[prop_id]],BudgetsTable[[#This Row],[pi_email]]))</f>
        <v/>
      </c>
      <c r="P573" s="128" t="s">
        <v>13</v>
      </c>
      <c r="Q573" s="128">
        <v>1</v>
      </c>
      <c r="R573" s="128">
        <v>1</v>
      </c>
      <c r="S573" s="129">
        <v>0</v>
      </c>
      <c r="T573" s="129">
        <v>5500</v>
      </c>
      <c r="U573" s="129">
        <v>4000</v>
      </c>
      <c r="V573" s="130">
        <v>106721</v>
      </c>
      <c r="W573" s="128">
        <v>0</v>
      </c>
      <c r="X573" s="128">
        <v>3</v>
      </c>
      <c r="Y573" s="131" t="str">
        <f ca="1">IF(ISBLANK(BudgetsTable[[#This Row],[budg_seq_yr]]),"FY"&amp;fiscalyear,"FY"&amp;fiscalyear-1+BudgetsTable[[#This Row],[budg_seq_yr]])</f>
        <v>FY20</v>
      </c>
      <c r="Z573" s="129">
        <v>106721</v>
      </c>
      <c r="AA573" s="128" t="s">
        <v>741</v>
      </c>
      <c r="AB573" s="128" t="s">
        <v>528</v>
      </c>
      <c r="AC573" s="126" t="s">
        <v>94</v>
      </c>
      <c r="AD573" s="128" t="s">
        <v>2365</v>
      </c>
    </row>
    <row r="574" spans="1:30">
      <c r="A574" s="125" t="s">
        <v>1796</v>
      </c>
      <c r="B574" s="126" t="s">
        <v>96</v>
      </c>
      <c r="C574" s="126">
        <f>C573+(BudgetsTable[[#This Row],[lead]]&lt;&gt;K573)</f>
        <v>110</v>
      </c>
      <c r="D574" s="126">
        <f>D573*(BudgetsTable[[#This Row],[lead]]=K573)+(BudgetsTable[[#This Row],[prop_id]]&lt;&gt;A573)</f>
        <v>1</v>
      </c>
      <c r="E574" s="127">
        <v>42935.717361111114</v>
      </c>
      <c r="F574" s="128" t="s">
        <v>242</v>
      </c>
      <c r="G574" s="128" t="s">
        <v>741</v>
      </c>
      <c r="H574" s="128" t="s">
        <v>528</v>
      </c>
      <c r="I574" s="126" t="s">
        <v>543</v>
      </c>
      <c r="J574" s="126" t="s">
        <v>13</v>
      </c>
      <c r="K574" s="128" t="s">
        <v>1796</v>
      </c>
      <c r="L574" s="7" t="str">
        <f>IF(BudgetsTable[[#This Row],[pi_last_name]]=" ","",HYPERLINK("https://www.ejacket.nsf.gov/ej/showProposal.do?Continue=Y&amp;ID="&amp;BudgetsTable[[#This Row],[prop_id]],BudgetsTable[[#This Row],[prop_id]]))</f>
        <v/>
      </c>
      <c r="M574" s="15" t="str">
        <f>IF(BudgetsTable[[#This Row],[pi_last_name]]=" ","",HYPERLINK("https://www.ejacket.nsf.gov/ej/processReviewAnalysis.do?dispatch=add&amp;uniqId="&amp;BudgetsTable[[#This Row],[prop_id]]&amp;PO_id,"&gt;ra"))</f>
        <v/>
      </c>
      <c r="N574" s="128" t="s">
        <v>13</v>
      </c>
      <c r="O574" s="7" t="str">
        <f>IF(BudgetsTable[[#This Row],[pi_last_name]]=" ","",HYPERLINK("mailto:"&amp;BudgetsTable[[#This Row],[pi_email]]&amp;"&amp;subject=Your NSF Proposal:  "&amp;BudgetsTable[[#This Row],[prop_id]],BudgetsTable[[#This Row],[pi_email]]))</f>
        <v/>
      </c>
      <c r="P574" s="128" t="s">
        <v>13</v>
      </c>
      <c r="Q574" s="128">
        <v>1</v>
      </c>
      <c r="R574" s="128">
        <v>1</v>
      </c>
      <c r="S574" s="129">
        <v>0</v>
      </c>
      <c r="T574" s="129">
        <v>5500</v>
      </c>
      <c r="U574" s="129">
        <v>4000</v>
      </c>
      <c r="V574" s="130">
        <v>108936</v>
      </c>
      <c r="W574" s="128">
        <v>0</v>
      </c>
      <c r="X574" s="128">
        <v>4</v>
      </c>
      <c r="Y574" s="131" t="str">
        <f ca="1">IF(ISBLANK(BudgetsTable[[#This Row],[budg_seq_yr]]),"FY"&amp;fiscalyear,"FY"&amp;fiscalyear-1+BudgetsTable[[#This Row],[budg_seq_yr]])</f>
        <v>FY21</v>
      </c>
      <c r="Z574" s="129">
        <v>108936</v>
      </c>
      <c r="AA574" s="128" t="s">
        <v>741</v>
      </c>
      <c r="AB574" s="128" t="s">
        <v>528</v>
      </c>
      <c r="AC574" s="126" t="s">
        <v>94</v>
      </c>
      <c r="AD574" s="128" t="s">
        <v>2365</v>
      </c>
    </row>
    <row r="575" spans="1:30">
      <c r="A575" s="125" t="s">
        <v>1796</v>
      </c>
      <c r="B575" s="126" t="s">
        <v>96</v>
      </c>
      <c r="C575" s="126">
        <f>C574+(BudgetsTable[[#This Row],[lead]]&lt;&gt;K574)</f>
        <v>110</v>
      </c>
      <c r="D575" s="126">
        <f>D574*(BudgetsTable[[#This Row],[lead]]=K574)+(BudgetsTable[[#This Row],[prop_id]]&lt;&gt;A574)</f>
        <v>1</v>
      </c>
      <c r="E575" s="127">
        <v>42935.717361111114</v>
      </c>
      <c r="F575" s="128" t="s">
        <v>242</v>
      </c>
      <c r="G575" s="128" t="s">
        <v>741</v>
      </c>
      <c r="H575" s="128" t="s">
        <v>528</v>
      </c>
      <c r="I575" s="126" t="s">
        <v>543</v>
      </c>
      <c r="J575" s="126" t="s">
        <v>13</v>
      </c>
      <c r="K575" s="128" t="s">
        <v>1796</v>
      </c>
      <c r="L575" s="7" t="str">
        <f>IF(BudgetsTable[[#This Row],[pi_last_name]]=" ","",HYPERLINK("https://www.ejacket.nsf.gov/ej/showProposal.do?Continue=Y&amp;ID="&amp;BudgetsTable[[#This Row],[prop_id]],BudgetsTable[[#This Row],[prop_id]]))</f>
        <v/>
      </c>
      <c r="M575" s="15" t="str">
        <f>IF(BudgetsTable[[#This Row],[pi_last_name]]=" ","",HYPERLINK("https://www.ejacket.nsf.gov/ej/processReviewAnalysis.do?dispatch=add&amp;uniqId="&amp;BudgetsTable[[#This Row],[prop_id]]&amp;PO_id,"&gt;ra"))</f>
        <v/>
      </c>
      <c r="N575" s="128" t="s">
        <v>13</v>
      </c>
      <c r="O575" s="7" t="str">
        <f>IF(BudgetsTable[[#This Row],[pi_last_name]]=" ","",HYPERLINK("mailto:"&amp;BudgetsTable[[#This Row],[pi_email]]&amp;"&amp;subject=Your NSF Proposal:  "&amp;BudgetsTable[[#This Row],[prop_id]],BudgetsTable[[#This Row],[pi_email]]))</f>
        <v/>
      </c>
      <c r="P575" s="128" t="s">
        <v>13</v>
      </c>
      <c r="Q575" s="128">
        <v>1</v>
      </c>
      <c r="R575" s="128">
        <v>1</v>
      </c>
      <c r="S575" s="129">
        <v>0</v>
      </c>
      <c r="T575" s="129">
        <v>5500</v>
      </c>
      <c r="U575" s="129">
        <v>4000</v>
      </c>
      <c r="V575" s="130">
        <v>111189</v>
      </c>
      <c r="W575" s="128">
        <v>0</v>
      </c>
      <c r="X575" s="128">
        <v>5</v>
      </c>
      <c r="Y575" s="131" t="str">
        <f ca="1">IF(ISBLANK(BudgetsTable[[#This Row],[budg_seq_yr]]),"FY"&amp;fiscalyear,"FY"&amp;fiscalyear-1+BudgetsTable[[#This Row],[budg_seq_yr]])</f>
        <v>FY22</v>
      </c>
      <c r="Z575" s="129">
        <v>111189</v>
      </c>
      <c r="AA575" s="128" t="s">
        <v>741</v>
      </c>
      <c r="AB575" s="128" t="s">
        <v>528</v>
      </c>
      <c r="AC575" s="126" t="s">
        <v>94</v>
      </c>
      <c r="AD575" s="128" t="s">
        <v>2365</v>
      </c>
    </row>
    <row r="576" spans="1:30">
      <c r="A576" s="125" t="s">
        <v>1804</v>
      </c>
      <c r="B576" s="126" t="s">
        <v>96</v>
      </c>
      <c r="C576" s="126">
        <f>C575+(BudgetsTable[[#This Row],[lead]]&lt;&gt;K575)</f>
        <v>111</v>
      </c>
      <c r="D576" s="126">
        <f>D575*(BudgetsTable[[#This Row],[lead]]=K575)+(BudgetsTable[[#This Row],[prop_id]]&lt;&gt;A575)</f>
        <v>1</v>
      </c>
      <c r="E576" s="127">
        <v>42935.723611111112</v>
      </c>
      <c r="F576" s="128" t="s">
        <v>242</v>
      </c>
      <c r="G576" s="128" t="s">
        <v>741</v>
      </c>
      <c r="H576" s="128" t="s">
        <v>528</v>
      </c>
      <c r="I576" s="126" t="s">
        <v>543</v>
      </c>
      <c r="J576" s="126" t="s">
        <v>2462</v>
      </c>
      <c r="K576" s="128" t="s">
        <v>1804</v>
      </c>
      <c r="L576" s="7" t="str">
        <f>IF(BudgetsTable[[#This Row],[pi_last_name]]=" ","",HYPERLINK("https://www.ejacket.nsf.gov/ej/showProposal.do?Continue=Y&amp;ID="&amp;BudgetsTable[[#This Row],[prop_id]],BudgetsTable[[#This Row],[prop_id]]))</f>
        <v>1751254</v>
      </c>
      <c r="M576" s="15" t="str">
        <f>IF(BudgetsTable[[#This Row],[pi_last_name]]=" ","",HYPERLINK("https://www.ejacket.nsf.gov/ej/processReviewAnalysis.do?dispatch=add&amp;uniqId="&amp;BudgetsTable[[#This Row],[prop_id]]&amp;PO_id,"&gt;ra"))</f>
        <v>&gt;ra</v>
      </c>
      <c r="N576" s="128" t="s">
        <v>1805</v>
      </c>
      <c r="O576" s="7" t="str">
        <f>IF(BudgetsTable[[#This Row],[pi_last_name]]=" ","",HYPERLINK("mailto:"&amp;BudgetsTable[[#This Row],[pi_email]]&amp;"&amp;subject=Your NSF Proposal:  "&amp;BudgetsTable[[#This Row],[prop_id]],BudgetsTable[[#This Row],[pi_email]]))</f>
        <v>brittany@cs.montana.edu</v>
      </c>
      <c r="P576" s="128" t="s">
        <v>2203</v>
      </c>
      <c r="Q576" s="128"/>
      <c r="R576" s="128"/>
      <c r="S576" s="129"/>
      <c r="T576" s="129"/>
      <c r="U576" s="129"/>
      <c r="V576" s="130"/>
      <c r="W576" s="128">
        <v>0</v>
      </c>
      <c r="X576" s="128"/>
      <c r="Y576" s="131" t="str">
        <f ca="1">IF(ISBLANK(BudgetsTable[[#This Row],[budg_seq_yr]]),"FY"&amp;fiscalyear,"FY"&amp;fiscalyear-1+BudgetsTable[[#This Row],[budg_seq_yr]])</f>
        <v>FY18</v>
      </c>
      <c r="Z576" s="129">
        <v>552355</v>
      </c>
      <c r="AA576" s="128" t="s">
        <v>741</v>
      </c>
      <c r="AB576" s="128" t="s">
        <v>528</v>
      </c>
      <c r="AC576" s="126" t="s">
        <v>94</v>
      </c>
      <c r="AD576" s="128" t="s">
        <v>2459</v>
      </c>
    </row>
    <row r="577" spans="1:30">
      <c r="A577" s="125" t="s">
        <v>1804</v>
      </c>
      <c r="B577" s="126" t="s">
        <v>96</v>
      </c>
      <c r="C577" s="126">
        <f>C576+(BudgetsTable[[#This Row],[lead]]&lt;&gt;K576)</f>
        <v>111</v>
      </c>
      <c r="D577" s="126">
        <f>D576*(BudgetsTable[[#This Row],[lead]]=K576)+(BudgetsTable[[#This Row],[prop_id]]&lt;&gt;A576)</f>
        <v>1</v>
      </c>
      <c r="E577" s="127">
        <v>42935.723611111112</v>
      </c>
      <c r="F577" s="128" t="s">
        <v>242</v>
      </c>
      <c r="G577" s="128" t="s">
        <v>741</v>
      </c>
      <c r="H577" s="128" t="s">
        <v>528</v>
      </c>
      <c r="I577" s="126" t="s">
        <v>543</v>
      </c>
      <c r="J577" s="126" t="s">
        <v>13</v>
      </c>
      <c r="K577" s="128" t="s">
        <v>1804</v>
      </c>
      <c r="L577" s="7" t="str">
        <f>IF(BudgetsTable[[#This Row],[pi_last_name]]=" ","",HYPERLINK("https://www.ejacket.nsf.gov/ej/showProposal.do?Continue=Y&amp;ID="&amp;BudgetsTable[[#This Row],[prop_id]],BudgetsTable[[#This Row],[prop_id]]))</f>
        <v/>
      </c>
      <c r="M577" s="15" t="str">
        <f>IF(BudgetsTable[[#This Row],[pi_last_name]]=" ","",HYPERLINK("https://www.ejacket.nsf.gov/ej/processReviewAnalysis.do?dispatch=add&amp;uniqId="&amp;BudgetsTable[[#This Row],[prop_id]]&amp;PO_id,"&gt;ra"))</f>
        <v/>
      </c>
      <c r="N577" s="128" t="s">
        <v>13</v>
      </c>
      <c r="O577" s="7" t="str">
        <f>IF(BudgetsTable[[#This Row],[pi_last_name]]=" ","",HYPERLINK("mailto:"&amp;BudgetsTable[[#This Row],[pi_email]]&amp;"&amp;subject=Your NSF Proposal:  "&amp;BudgetsTable[[#This Row],[prop_id]],BudgetsTable[[#This Row],[pi_email]]))</f>
        <v/>
      </c>
      <c r="P577" s="128" t="s">
        <v>13</v>
      </c>
      <c r="Q577" s="128">
        <v>1</v>
      </c>
      <c r="R577" s="128">
        <v>1</v>
      </c>
      <c r="S577" s="129">
        <v>0</v>
      </c>
      <c r="T577" s="129">
        <v>2600</v>
      </c>
      <c r="U577" s="129">
        <v>0</v>
      </c>
      <c r="V577" s="130">
        <v>91913</v>
      </c>
      <c r="W577" s="128">
        <v>0</v>
      </c>
      <c r="X577" s="128">
        <v>1</v>
      </c>
      <c r="Y577" s="131" t="str">
        <f ca="1">IF(ISBLANK(BudgetsTable[[#This Row],[budg_seq_yr]]),"FY"&amp;fiscalyear,"FY"&amp;fiscalyear-1+BudgetsTable[[#This Row],[budg_seq_yr]])</f>
        <v>FY18</v>
      </c>
      <c r="Z577" s="129">
        <v>91913</v>
      </c>
      <c r="AA577" s="128" t="s">
        <v>741</v>
      </c>
      <c r="AB577" s="128" t="s">
        <v>528</v>
      </c>
      <c r="AC577" s="126" t="s">
        <v>94</v>
      </c>
      <c r="AD577" s="128" t="s">
        <v>2459</v>
      </c>
    </row>
    <row r="578" spans="1:30">
      <c r="A578" s="125" t="s">
        <v>1804</v>
      </c>
      <c r="B578" s="126" t="s">
        <v>96</v>
      </c>
      <c r="C578" s="126">
        <f>C577+(BudgetsTable[[#This Row],[lead]]&lt;&gt;K577)</f>
        <v>111</v>
      </c>
      <c r="D578" s="126">
        <f>D577*(BudgetsTable[[#This Row],[lead]]=K577)+(BudgetsTable[[#This Row],[prop_id]]&lt;&gt;A577)</f>
        <v>1</v>
      </c>
      <c r="E578" s="127">
        <v>42935.723611111112</v>
      </c>
      <c r="F578" s="128" t="s">
        <v>242</v>
      </c>
      <c r="G578" s="128" t="s">
        <v>741</v>
      </c>
      <c r="H578" s="128" t="s">
        <v>528</v>
      </c>
      <c r="I578" s="126" t="s">
        <v>543</v>
      </c>
      <c r="J578" s="126" t="s">
        <v>13</v>
      </c>
      <c r="K578" s="128" t="s">
        <v>1804</v>
      </c>
      <c r="L578" s="7" t="str">
        <f>IF(BudgetsTable[[#This Row],[pi_last_name]]=" ","",HYPERLINK("https://www.ejacket.nsf.gov/ej/showProposal.do?Continue=Y&amp;ID="&amp;BudgetsTable[[#This Row],[prop_id]],BudgetsTable[[#This Row],[prop_id]]))</f>
        <v/>
      </c>
      <c r="M578" s="15" t="str">
        <f>IF(BudgetsTable[[#This Row],[pi_last_name]]=" ","",HYPERLINK("https://www.ejacket.nsf.gov/ej/processReviewAnalysis.do?dispatch=add&amp;uniqId="&amp;BudgetsTable[[#This Row],[prop_id]]&amp;PO_id,"&gt;ra"))</f>
        <v/>
      </c>
      <c r="N578" s="128" t="s">
        <v>13</v>
      </c>
      <c r="O578" s="7" t="str">
        <f>IF(BudgetsTable[[#This Row],[pi_last_name]]=" ","",HYPERLINK("mailto:"&amp;BudgetsTable[[#This Row],[pi_email]]&amp;"&amp;subject=Your NSF Proposal:  "&amp;BudgetsTable[[#This Row],[prop_id]],BudgetsTable[[#This Row],[pi_email]]))</f>
        <v/>
      </c>
      <c r="P578" s="128" t="s">
        <v>13</v>
      </c>
      <c r="Q578" s="128">
        <v>1</v>
      </c>
      <c r="R578" s="128">
        <v>1</v>
      </c>
      <c r="S578" s="129">
        <v>0</v>
      </c>
      <c r="T578" s="129">
        <v>2600</v>
      </c>
      <c r="U578" s="129">
        <v>0</v>
      </c>
      <c r="V578" s="130">
        <v>94307</v>
      </c>
      <c r="W578" s="128">
        <v>0</v>
      </c>
      <c r="X578" s="128">
        <v>2</v>
      </c>
      <c r="Y578" s="131" t="str">
        <f ca="1">IF(ISBLANK(BudgetsTable[[#This Row],[budg_seq_yr]]),"FY"&amp;fiscalyear,"FY"&amp;fiscalyear-1+BudgetsTable[[#This Row],[budg_seq_yr]])</f>
        <v>FY19</v>
      </c>
      <c r="Z578" s="129">
        <v>94307</v>
      </c>
      <c r="AA578" s="128" t="s">
        <v>741</v>
      </c>
      <c r="AB578" s="128" t="s">
        <v>528</v>
      </c>
      <c r="AC578" s="126" t="s">
        <v>94</v>
      </c>
      <c r="AD578" s="128" t="s">
        <v>2459</v>
      </c>
    </row>
    <row r="579" spans="1:30">
      <c r="A579" s="125" t="s">
        <v>1804</v>
      </c>
      <c r="B579" s="126" t="s">
        <v>96</v>
      </c>
      <c r="C579" s="126">
        <f>C578+(BudgetsTable[[#This Row],[lead]]&lt;&gt;K578)</f>
        <v>111</v>
      </c>
      <c r="D579" s="126">
        <f>D578*(BudgetsTable[[#This Row],[lead]]=K578)+(BudgetsTable[[#This Row],[prop_id]]&lt;&gt;A578)</f>
        <v>1</v>
      </c>
      <c r="E579" s="127">
        <v>42935.723611111112</v>
      </c>
      <c r="F579" s="128" t="s">
        <v>242</v>
      </c>
      <c r="G579" s="128" t="s">
        <v>741</v>
      </c>
      <c r="H579" s="128" t="s">
        <v>528</v>
      </c>
      <c r="I579" s="126" t="s">
        <v>543</v>
      </c>
      <c r="J579" s="126" t="s">
        <v>13</v>
      </c>
      <c r="K579" s="128" t="s">
        <v>1804</v>
      </c>
      <c r="L579" s="7" t="str">
        <f>IF(BudgetsTable[[#This Row],[pi_last_name]]=" ","",HYPERLINK("https://www.ejacket.nsf.gov/ej/showProposal.do?Continue=Y&amp;ID="&amp;BudgetsTable[[#This Row],[prop_id]],BudgetsTable[[#This Row],[prop_id]]))</f>
        <v/>
      </c>
      <c r="M579" s="15" t="str">
        <f>IF(BudgetsTable[[#This Row],[pi_last_name]]=" ","",HYPERLINK("https://www.ejacket.nsf.gov/ej/processReviewAnalysis.do?dispatch=add&amp;uniqId="&amp;BudgetsTable[[#This Row],[prop_id]]&amp;PO_id,"&gt;ra"))</f>
        <v/>
      </c>
      <c r="N579" s="128" t="s">
        <v>13</v>
      </c>
      <c r="O579" s="7" t="str">
        <f>IF(BudgetsTable[[#This Row],[pi_last_name]]=" ","",HYPERLINK("mailto:"&amp;BudgetsTable[[#This Row],[pi_email]]&amp;"&amp;subject=Your NSF Proposal:  "&amp;BudgetsTable[[#This Row],[prop_id]],BudgetsTable[[#This Row],[pi_email]]))</f>
        <v/>
      </c>
      <c r="P579" s="128" t="s">
        <v>13</v>
      </c>
      <c r="Q579" s="128">
        <v>1</v>
      </c>
      <c r="R579" s="128">
        <v>1</v>
      </c>
      <c r="S579" s="129">
        <v>0</v>
      </c>
      <c r="T579" s="129">
        <v>2600</v>
      </c>
      <c r="U579" s="129">
        <v>0</v>
      </c>
      <c r="V579" s="130">
        <v>137366</v>
      </c>
      <c r="W579" s="128">
        <v>0</v>
      </c>
      <c r="X579" s="128">
        <v>3</v>
      </c>
      <c r="Y579" s="131" t="str">
        <f ca="1">IF(ISBLANK(BudgetsTable[[#This Row],[budg_seq_yr]]),"FY"&amp;fiscalyear,"FY"&amp;fiscalyear-1+BudgetsTable[[#This Row],[budg_seq_yr]])</f>
        <v>FY20</v>
      </c>
      <c r="Z579" s="129">
        <v>137366</v>
      </c>
      <c r="AA579" s="128" t="s">
        <v>741</v>
      </c>
      <c r="AB579" s="128" t="s">
        <v>528</v>
      </c>
      <c r="AC579" s="126" t="s">
        <v>94</v>
      </c>
      <c r="AD579" s="128" t="s">
        <v>2459</v>
      </c>
    </row>
    <row r="580" spans="1:30">
      <c r="A580" s="125" t="s">
        <v>1804</v>
      </c>
      <c r="B580" s="126" t="s">
        <v>96</v>
      </c>
      <c r="C580" s="126">
        <f>C579+(BudgetsTable[[#This Row],[lead]]&lt;&gt;K579)</f>
        <v>111</v>
      </c>
      <c r="D580" s="126">
        <f>D579*(BudgetsTable[[#This Row],[lead]]=K579)+(BudgetsTable[[#This Row],[prop_id]]&lt;&gt;A579)</f>
        <v>1</v>
      </c>
      <c r="E580" s="127">
        <v>42935.723611111112</v>
      </c>
      <c r="F580" s="128" t="s">
        <v>242</v>
      </c>
      <c r="G580" s="128" t="s">
        <v>741</v>
      </c>
      <c r="H580" s="128" t="s">
        <v>528</v>
      </c>
      <c r="I580" s="126" t="s">
        <v>543</v>
      </c>
      <c r="J580" s="126" t="s">
        <v>13</v>
      </c>
      <c r="K580" s="128" t="s">
        <v>1804</v>
      </c>
      <c r="L580" s="7" t="str">
        <f>IF(BudgetsTable[[#This Row],[pi_last_name]]=" ","",HYPERLINK("https://www.ejacket.nsf.gov/ej/showProposal.do?Continue=Y&amp;ID="&amp;BudgetsTable[[#This Row],[prop_id]],BudgetsTable[[#This Row],[prop_id]]))</f>
        <v/>
      </c>
      <c r="M580" s="15" t="str">
        <f>IF(BudgetsTable[[#This Row],[pi_last_name]]=" ","",HYPERLINK("https://www.ejacket.nsf.gov/ej/processReviewAnalysis.do?dispatch=add&amp;uniqId="&amp;BudgetsTable[[#This Row],[prop_id]]&amp;PO_id,"&gt;ra"))</f>
        <v/>
      </c>
      <c r="N580" s="128" t="s">
        <v>13</v>
      </c>
      <c r="O580" s="7" t="str">
        <f>IF(BudgetsTable[[#This Row],[pi_last_name]]=" ","",HYPERLINK("mailto:"&amp;BudgetsTable[[#This Row],[pi_email]]&amp;"&amp;subject=Your NSF Proposal:  "&amp;BudgetsTable[[#This Row],[prop_id]],BudgetsTable[[#This Row],[pi_email]]))</f>
        <v/>
      </c>
      <c r="P580" s="128" t="s">
        <v>13</v>
      </c>
      <c r="Q580" s="128">
        <v>1</v>
      </c>
      <c r="R580" s="128">
        <v>1</v>
      </c>
      <c r="S580" s="129">
        <v>0</v>
      </c>
      <c r="T580" s="129">
        <v>2600</v>
      </c>
      <c r="U580" s="129">
        <v>0</v>
      </c>
      <c r="V580" s="130">
        <v>100963</v>
      </c>
      <c r="W580" s="128">
        <v>0</v>
      </c>
      <c r="X580" s="128">
        <v>4</v>
      </c>
      <c r="Y580" s="131" t="str">
        <f ca="1">IF(ISBLANK(BudgetsTable[[#This Row],[budg_seq_yr]]),"FY"&amp;fiscalyear,"FY"&amp;fiscalyear-1+BudgetsTable[[#This Row],[budg_seq_yr]])</f>
        <v>FY21</v>
      </c>
      <c r="Z580" s="129">
        <v>100963</v>
      </c>
      <c r="AA580" s="128" t="s">
        <v>741</v>
      </c>
      <c r="AB580" s="128" t="s">
        <v>528</v>
      </c>
      <c r="AC580" s="126" t="s">
        <v>94</v>
      </c>
      <c r="AD580" s="128" t="s">
        <v>2459</v>
      </c>
    </row>
    <row r="581" spans="1:30">
      <c r="A581" s="125" t="s">
        <v>1804</v>
      </c>
      <c r="B581" s="126" t="s">
        <v>96</v>
      </c>
      <c r="C581" s="126">
        <f>C580+(BudgetsTable[[#This Row],[lead]]&lt;&gt;K580)</f>
        <v>111</v>
      </c>
      <c r="D581" s="126">
        <f>D580*(BudgetsTable[[#This Row],[lead]]=K580)+(BudgetsTable[[#This Row],[prop_id]]&lt;&gt;A580)</f>
        <v>1</v>
      </c>
      <c r="E581" s="127">
        <v>42935.723611111112</v>
      </c>
      <c r="F581" s="128" t="s">
        <v>242</v>
      </c>
      <c r="G581" s="128" t="s">
        <v>741</v>
      </c>
      <c r="H581" s="128" t="s">
        <v>528</v>
      </c>
      <c r="I581" s="126" t="s">
        <v>543</v>
      </c>
      <c r="J581" s="126" t="s">
        <v>13</v>
      </c>
      <c r="K581" s="128" t="s">
        <v>1804</v>
      </c>
      <c r="L581" s="7" t="str">
        <f>IF(BudgetsTable[[#This Row],[pi_last_name]]=" ","",HYPERLINK("https://www.ejacket.nsf.gov/ej/showProposal.do?Continue=Y&amp;ID="&amp;BudgetsTable[[#This Row],[prop_id]],BudgetsTable[[#This Row],[prop_id]]))</f>
        <v/>
      </c>
      <c r="M581" s="15" t="str">
        <f>IF(BudgetsTable[[#This Row],[pi_last_name]]=" ","",HYPERLINK("https://www.ejacket.nsf.gov/ej/processReviewAnalysis.do?dispatch=add&amp;uniqId="&amp;BudgetsTable[[#This Row],[prop_id]]&amp;PO_id,"&gt;ra"))</f>
        <v/>
      </c>
      <c r="N581" s="128" t="s">
        <v>13</v>
      </c>
      <c r="O581" s="7" t="str">
        <f>IF(BudgetsTable[[#This Row],[pi_last_name]]=" ","",HYPERLINK("mailto:"&amp;BudgetsTable[[#This Row],[pi_email]]&amp;"&amp;subject=Your NSF Proposal:  "&amp;BudgetsTable[[#This Row],[prop_id]],BudgetsTable[[#This Row],[pi_email]]))</f>
        <v/>
      </c>
      <c r="P581" s="128" t="s">
        <v>13</v>
      </c>
      <c r="Q581" s="128">
        <v>1</v>
      </c>
      <c r="R581" s="128">
        <v>1</v>
      </c>
      <c r="S581" s="129">
        <v>0</v>
      </c>
      <c r="T581" s="129">
        <v>2600</v>
      </c>
      <c r="U581" s="129">
        <v>0</v>
      </c>
      <c r="V581" s="130">
        <v>127806</v>
      </c>
      <c r="W581" s="128">
        <v>0</v>
      </c>
      <c r="X581" s="128">
        <v>5</v>
      </c>
      <c r="Y581" s="131" t="str">
        <f ca="1">IF(ISBLANK(BudgetsTable[[#This Row],[budg_seq_yr]]),"FY"&amp;fiscalyear,"FY"&amp;fiscalyear-1+BudgetsTable[[#This Row],[budg_seq_yr]])</f>
        <v>FY22</v>
      </c>
      <c r="Z581" s="129">
        <v>127806</v>
      </c>
      <c r="AA581" s="128" t="s">
        <v>741</v>
      </c>
      <c r="AB581" s="128" t="s">
        <v>528</v>
      </c>
      <c r="AC581" s="126" t="s">
        <v>94</v>
      </c>
      <c r="AD581" s="128" t="s">
        <v>2459</v>
      </c>
    </row>
    <row r="582" spans="1:30">
      <c r="A582" s="125" t="s">
        <v>1812</v>
      </c>
      <c r="B582" s="126" t="s">
        <v>96</v>
      </c>
      <c r="C582" s="126">
        <f>C581+(BudgetsTable[[#This Row],[lead]]&lt;&gt;K581)</f>
        <v>112</v>
      </c>
      <c r="D582" s="126">
        <f>D581*(BudgetsTable[[#This Row],[lead]]=K581)+(BudgetsTable[[#This Row],[prop_id]]&lt;&gt;A581)</f>
        <v>1</v>
      </c>
      <c r="E582" s="127">
        <v>42935.851388888892</v>
      </c>
      <c r="F582" s="128" t="s">
        <v>242</v>
      </c>
      <c r="G582" s="128" t="s">
        <v>741</v>
      </c>
      <c r="H582" s="128" t="s">
        <v>528</v>
      </c>
      <c r="I582" s="126" t="s">
        <v>1530</v>
      </c>
      <c r="J582" s="126" t="s">
        <v>2467</v>
      </c>
      <c r="K582" s="128" t="s">
        <v>1812</v>
      </c>
      <c r="L582" s="7" t="str">
        <f>IF(BudgetsTable[[#This Row],[pi_last_name]]=" ","",HYPERLINK("https://www.ejacket.nsf.gov/ej/showProposal.do?Continue=Y&amp;ID="&amp;BudgetsTable[[#This Row],[prop_id]],BudgetsTable[[#This Row],[prop_id]]))</f>
        <v>1751416</v>
      </c>
      <c r="M582" s="15" t="str">
        <f>IF(BudgetsTable[[#This Row],[pi_last_name]]=" ","",HYPERLINK("https://www.ejacket.nsf.gov/ej/processReviewAnalysis.do?dispatch=add&amp;uniqId="&amp;BudgetsTable[[#This Row],[prop_id]]&amp;PO_id,"&gt;ra"))</f>
        <v>&gt;ra</v>
      </c>
      <c r="N582" s="128" t="s">
        <v>1813</v>
      </c>
      <c r="O582" s="7" t="str">
        <f>IF(BudgetsTable[[#This Row],[pi_last_name]]=" ","",HYPERLINK("mailto:"&amp;BudgetsTable[[#This Row],[pi_email]]&amp;"&amp;subject=Your NSF Proposal:  "&amp;BudgetsTable[[#This Row],[prop_id]],BudgetsTable[[#This Row],[pi_email]]))</f>
        <v>nodari@hawaii.edu</v>
      </c>
      <c r="P582" s="128" t="s">
        <v>2464</v>
      </c>
      <c r="Q582" s="128"/>
      <c r="R582" s="128"/>
      <c r="S582" s="129"/>
      <c r="T582" s="129"/>
      <c r="U582" s="129"/>
      <c r="V582" s="130"/>
      <c r="W582" s="128">
        <v>0</v>
      </c>
      <c r="X582" s="128"/>
      <c r="Y582" s="131" t="str">
        <f ca="1">IF(ISBLANK(BudgetsTable[[#This Row],[budg_seq_yr]]),"FY"&amp;fiscalyear,"FY"&amp;fiscalyear-1+BudgetsTable[[#This Row],[budg_seq_yr]])</f>
        <v>FY18</v>
      </c>
      <c r="Z582" s="129">
        <v>549999</v>
      </c>
      <c r="AA582" s="128" t="s">
        <v>741</v>
      </c>
      <c r="AB582" s="128" t="s">
        <v>528</v>
      </c>
      <c r="AC582" s="126" t="s">
        <v>94</v>
      </c>
      <c r="AD582" s="128" t="s">
        <v>2450</v>
      </c>
    </row>
    <row r="583" spans="1:30">
      <c r="A583" s="125" t="s">
        <v>1812</v>
      </c>
      <c r="B583" s="126" t="s">
        <v>96</v>
      </c>
      <c r="C583" s="126">
        <f>C582+(BudgetsTable[[#This Row],[lead]]&lt;&gt;K582)</f>
        <v>112</v>
      </c>
      <c r="D583" s="126">
        <f>D582*(BudgetsTable[[#This Row],[lead]]=K582)+(BudgetsTable[[#This Row],[prop_id]]&lt;&gt;A582)</f>
        <v>1</v>
      </c>
      <c r="E583" s="127">
        <v>42935.851388888892</v>
      </c>
      <c r="F583" s="128" t="s">
        <v>242</v>
      </c>
      <c r="G583" s="128" t="s">
        <v>741</v>
      </c>
      <c r="H583" s="128" t="s">
        <v>528</v>
      </c>
      <c r="I583" s="126" t="s">
        <v>1530</v>
      </c>
      <c r="J583" s="126" t="s">
        <v>13</v>
      </c>
      <c r="K583" s="128" t="s">
        <v>1812</v>
      </c>
      <c r="L583" s="7" t="str">
        <f>IF(BudgetsTable[[#This Row],[pi_last_name]]=" ","",HYPERLINK("https://www.ejacket.nsf.gov/ej/showProposal.do?Continue=Y&amp;ID="&amp;BudgetsTable[[#This Row],[prop_id]],BudgetsTable[[#This Row],[prop_id]]))</f>
        <v/>
      </c>
      <c r="M583" s="15" t="str">
        <f>IF(BudgetsTable[[#This Row],[pi_last_name]]=" ","",HYPERLINK("https://www.ejacket.nsf.gov/ej/processReviewAnalysis.do?dispatch=add&amp;uniqId="&amp;BudgetsTable[[#This Row],[prop_id]]&amp;PO_id,"&gt;ra"))</f>
        <v/>
      </c>
      <c r="N583" s="128" t="s">
        <v>13</v>
      </c>
      <c r="O583" s="7" t="str">
        <f>IF(BudgetsTable[[#This Row],[pi_last_name]]=" ","",HYPERLINK("mailto:"&amp;BudgetsTable[[#This Row],[pi_email]]&amp;"&amp;subject=Your NSF Proposal:  "&amp;BudgetsTable[[#This Row],[prop_id]],BudgetsTable[[#This Row],[pi_email]]))</f>
        <v/>
      </c>
      <c r="P583" s="128" t="s">
        <v>13</v>
      </c>
      <c r="Q583" s="128">
        <v>1</v>
      </c>
      <c r="R583" s="128">
        <v>1</v>
      </c>
      <c r="S583" s="129">
        <v>0</v>
      </c>
      <c r="T583" s="129">
        <v>4000</v>
      </c>
      <c r="U583" s="129">
        <v>0</v>
      </c>
      <c r="V583" s="130">
        <v>107503</v>
      </c>
      <c r="W583" s="128">
        <v>0</v>
      </c>
      <c r="X583" s="128">
        <v>1</v>
      </c>
      <c r="Y583" s="131" t="str">
        <f ca="1">IF(ISBLANK(BudgetsTable[[#This Row],[budg_seq_yr]]),"FY"&amp;fiscalyear,"FY"&amp;fiscalyear-1+BudgetsTable[[#This Row],[budg_seq_yr]])</f>
        <v>FY18</v>
      </c>
      <c r="Z583" s="129">
        <v>107503</v>
      </c>
      <c r="AA583" s="128" t="s">
        <v>741</v>
      </c>
      <c r="AB583" s="128" t="s">
        <v>528</v>
      </c>
      <c r="AC583" s="126" t="s">
        <v>94</v>
      </c>
      <c r="AD583" s="128" t="s">
        <v>2450</v>
      </c>
    </row>
    <row r="584" spans="1:30">
      <c r="A584" s="125" t="s">
        <v>1812</v>
      </c>
      <c r="B584" s="126" t="s">
        <v>96</v>
      </c>
      <c r="C584" s="126">
        <f>C583+(BudgetsTable[[#This Row],[lead]]&lt;&gt;K583)</f>
        <v>112</v>
      </c>
      <c r="D584" s="126">
        <f>D583*(BudgetsTable[[#This Row],[lead]]=K583)+(BudgetsTable[[#This Row],[prop_id]]&lt;&gt;A583)</f>
        <v>1</v>
      </c>
      <c r="E584" s="127">
        <v>42935.851388888892</v>
      </c>
      <c r="F584" s="128" t="s">
        <v>242</v>
      </c>
      <c r="G584" s="128" t="s">
        <v>741</v>
      </c>
      <c r="H584" s="128" t="s">
        <v>528</v>
      </c>
      <c r="I584" s="126" t="s">
        <v>1530</v>
      </c>
      <c r="J584" s="126" t="s">
        <v>13</v>
      </c>
      <c r="K584" s="128" t="s">
        <v>1812</v>
      </c>
      <c r="L584" s="7" t="str">
        <f>IF(BudgetsTable[[#This Row],[pi_last_name]]=" ","",HYPERLINK("https://www.ejacket.nsf.gov/ej/showProposal.do?Continue=Y&amp;ID="&amp;BudgetsTable[[#This Row],[prop_id]],BudgetsTable[[#This Row],[prop_id]]))</f>
        <v/>
      </c>
      <c r="M584" s="15" t="str">
        <f>IF(BudgetsTable[[#This Row],[pi_last_name]]=" ","",HYPERLINK("https://www.ejacket.nsf.gov/ej/processReviewAnalysis.do?dispatch=add&amp;uniqId="&amp;BudgetsTable[[#This Row],[prop_id]]&amp;PO_id,"&gt;ra"))</f>
        <v/>
      </c>
      <c r="N584" s="128" t="s">
        <v>13</v>
      </c>
      <c r="O584" s="7" t="str">
        <f>IF(BudgetsTable[[#This Row],[pi_last_name]]=" ","",HYPERLINK("mailto:"&amp;BudgetsTable[[#This Row],[pi_email]]&amp;"&amp;subject=Your NSF Proposal:  "&amp;BudgetsTable[[#This Row],[prop_id]],BudgetsTable[[#This Row],[pi_email]]))</f>
        <v/>
      </c>
      <c r="P584" s="128" t="s">
        <v>13</v>
      </c>
      <c r="Q584" s="128">
        <v>1</v>
      </c>
      <c r="R584" s="128">
        <v>1</v>
      </c>
      <c r="S584" s="129">
        <v>0</v>
      </c>
      <c r="T584" s="129">
        <v>4000</v>
      </c>
      <c r="U584" s="129">
        <v>0</v>
      </c>
      <c r="V584" s="130">
        <v>106381</v>
      </c>
      <c r="W584" s="128">
        <v>0</v>
      </c>
      <c r="X584" s="128">
        <v>2</v>
      </c>
      <c r="Y584" s="131" t="str">
        <f ca="1">IF(ISBLANK(BudgetsTable[[#This Row],[budg_seq_yr]]),"FY"&amp;fiscalyear,"FY"&amp;fiscalyear-1+BudgetsTable[[#This Row],[budg_seq_yr]])</f>
        <v>FY19</v>
      </c>
      <c r="Z584" s="129">
        <v>106381</v>
      </c>
      <c r="AA584" s="128" t="s">
        <v>741</v>
      </c>
      <c r="AB584" s="128" t="s">
        <v>528</v>
      </c>
      <c r="AC584" s="126" t="s">
        <v>94</v>
      </c>
      <c r="AD584" s="128" t="s">
        <v>2450</v>
      </c>
    </row>
    <row r="585" spans="1:30">
      <c r="A585" s="125" t="s">
        <v>1812</v>
      </c>
      <c r="B585" s="126" t="s">
        <v>96</v>
      </c>
      <c r="C585" s="126">
        <f>C584+(BudgetsTable[[#This Row],[lead]]&lt;&gt;K584)</f>
        <v>112</v>
      </c>
      <c r="D585" s="126">
        <f>D584*(BudgetsTable[[#This Row],[lead]]=K584)+(BudgetsTable[[#This Row],[prop_id]]&lt;&gt;A584)</f>
        <v>1</v>
      </c>
      <c r="E585" s="127">
        <v>42935.851388888892</v>
      </c>
      <c r="F585" s="128" t="s">
        <v>242</v>
      </c>
      <c r="G585" s="128" t="s">
        <v>741</v>
      </c>
      <c r="H585" s="128" t="s">
        <v>528</v>
      </c>
      <c r="I585" s="126" t="s">
        <v>1530</v>
      </c>
      <c r="J585" s="126" t="s">
        <v>13</v>
      </c>
      <c r="K585" s="128" t="s">
        <v>1812</v>
      </c>
      <c r="L585" s="7" t="str">
        <f>IF(BudgetsTable[[#This Row],[pi_last_name]]=" ","",HYPERLINK("https://www.ejacket.nsf.gov/ej/showProposal.do?Continue=Y&amp;ID="&amp;BudgetsTable[[#This Row],[prop_id]],BudgetsTable[[#This Row],[prop_id]]))</f>
        <v/>
      </c>
      <c r="M585" s="15" t="str">
        <f>IF(BudgetsTable[[#This Row],[pi_last_name]]=" ","",HYPERLINK("https://www.ejacket.nsf.gov/ej/processReviewAnalysis.do?dispatch=add&amp;uniqId="&amp;BudgetsTable[[#This Row],[prop_id]]&amp;PO_id,"&gt;ra"))</f>
        <v/>
      </c>
      <c r="N585" s="128" t="s">
        <v>13</v>
      </c>
      <c r="O585" s="7" t="str">
        <f>IF(BudgetsTable[[#This Row],[pi_last_name]]=" ","",HYPERLINK("mailto:"&amp;BudgetsTable[[#This Row],[pi_email]]&amp;"&amp;subject=Your NSF Proposal:  "&amp;BudgetsTable[[#This Row],[prop_id]],BudgetsTable[[#This Row],[pi_email]]))</f>
        <v/>
      </c>
      <c r="P585" s="128" t="s">
        <v>13</v>
      </c>
      <c r="Q585" s="128">
        <v>1</v>
      </c>
      <c r="R585" s="128">
        <v>1</v>
      </c>
      <c r="S585" s="129">
        <v>0</v>
      </c>
      <c r="T585" s="129">
        <v>4000</v>
      </c>
      <c r="U585" s="129">
        <v>0</v>
      </c>
      <c r="V585" s="130">
        <v>109149</v>
      </c>
      <c r="W585" s="128">
        <v>0</v>
      </c>
      <c r="X585" s="128">
        <v>3</v>
      </c>
      <c r="Y585" s="131" t="str">
        <f ca="1">IF(ISBLANK(BudgetsTable[[#This Row],[budg_seq_yr]]),"FY"&amp;fiscalyear,"FY"&amp;fiscalyear-1+BudgetsTable[[#This Row],[budg_seq_yr]])</f>
        <v>FY20</v>
      </c>
      <c r="Z585" s="129">
        <v>109149</v>
      </c>
      <c r="AA585" s="128" t="s">
        <v>741</v>
      </c>
      <c r="AB585" s="128" t="s">
        <v>528</v>
      </c>
      <c r="AC585" s="126" t="s">
        <v>94</v>
      </c>
      <c r="AD585" s="128" t="s">
        <v>2450</v>
      </c>
    </row>
    <row r="586" spans="1:30">
      <c r="A586" s="125" t="s">
        <v>1812</v>
      </c>
      <c r="B586" s="126" t="s">
        <v>96</v>
      </c>
      <c r="C586" s="126">
        <f>C585+(BudgetsTable[[#This Row],[lead]]&lt;&gt;K585)</f>
        <v>112</v>
      </c>
      <c r="D586" s="126">
        <f>D585*(BudgetsTable[[#This Row],[lead]]=K585)+(BudgetsTable[[#This Row],[prop_id]]&lt;&gt;A585)</f>
        <v>1</v>
      </c>
      <c r="E586" s="127">
        <v>42935.851388888892</v>
      </c>
      <c r="F586" s="128" t="s">
        <v>242</v>
      </c>
      <c r="G586" s="128" t="s">
        <v>741</v>
      </c>
      <c r="H586" s="128" t="s">
        <v>528</v>
      </c>
      <c r="I586" s="126" t="s">
        <v>1530</v>
      </c>
      <c r="J586" s="126" t="s">
        <v>13</v>
      </c>
      <c r="K586" s="128" t="s">
        <v>1812</v>
      </c>
      <c r="L586" s="7" t="str">
        <f>IF(BudgetsTable[[#This Row],[pi_last_name]]=" ","",HYPERLINK("https://www.ejacket.nsf.gov/ej/showProposal.do?Continue=Y&amp;ID="&amp;BudgetsTable[[#This Row],[prop_id]],BudgetsTable[[#This Row],[prop_id]]))</f>
        <v/>
      </c>
      <c r="M586" s="15" t="str">
        <f>IF(BudgetsTable[[#This Row],[pi_last_name]]=" ","",HYPERLINK("https://www.ejacket.nsf.gov/ej/processReviewAnalysis.do?dispatch=add&amp;uniqId="&amp;BudgetsTable[[#This Row],[prop_id]]&amp;PO_id,"&gt;ra"))</f>
        <v/>
      </c>
      <c r="N586" s="128" t="s">
        <v>13</v>
      </c>
      <c r="O586" s="7" t="str">
        <f>IF(BudgetsTable[[#This Row],[pi_last_name]]=" ","",HYPERLINK("mailto:"&amp;BudgetsTable[[#This Row],[pi_email]]&amp;"&amp;subject=Your NSF Proposal:  "&amp;BudgetsTable[[#This Row],[prop_id]],BudgetsTable[[#This Row],[pi_email]]))</f>
        <v/>
      </c>
      <c r="P586" s="128" t="s">
        <v>13</v>
      </c>
      <c r="Q586" s="128">
        <v>1</v>
      </c>
      <c r="R586" s="128">
        <v>1</v>
      </c>
      <c r="S586" s="129">
        <v>0</v>
      </c>
      <c r="T586" s="129">
        <v>4000</v>
      </c>
      <c r="U586" s="129">
        <v>0</v>
      </c>
      <c r="V586" s="130">
        <v>112009</v>
      </c>
      <c r="W586" s="128">
        <v>0</v>
      </c>
      <c r="X586" s="128">
        <v>4</v>
      </c>
      <c r="Y586" s="131" t="str">
        <f ca="1">IF(ISBLANK(BudgetsTable[[#This Row],[budg_seq_yr]]),"FY"&amp;fiscalyear,"FY"&amp;fiscalyear-1+BudgetsTable[[#This Row],[budg_seq_yr]])</f>
        <v>FY21</v>
      </c>
      <c r="Z586" s="129">
        <v>112009</v>
      </c>
      <c r="AA586" s="128" t="s">
        <v>741</v>
      </c>
      <c r="AB586" s="128" t="s">
        <v>528</v>
      </c>
      <c r="AC586" s="126" t="s">
        <v>94</v>
      </c>
      <c r="AD586" s="128" t="s">
        <v>2450</v>
      </c>
    </row>
    <row r="587" spans="1:30">
      <c r="A587" s="125" t="s">
        <v>1812</v>
      </c>
      <c r="B587" s="126" t="s">
        <v>96</v>
      </c>
      <c r="C587" s="126">
        <f>C586+(BudgetsTable[[#This Row],[lead]]&lt;&gt;K586)</f>
        <v>112</v>
      </c>
      <c r="D587" s="126">
        <f>D586*(BudgetsTable[[#This Row],[lead]]=K586)+(BudgetsTable[[#This Row],[prop_id]]&lt;&gt;A586)</f>
        <v>1</v>
      </c>
      <c r="E587" s="127">
        <v>42935.851388888892</v>
      </c>
      <c r="F587" s="128" t="s">
        <v>242</v>
      </c>
      <c r="G587" s="128" t="s">
        <v>741</v>
      </c>
      <c r="H587" s="128" t="s">
        <v>528</v>
      </c>
      <c r="I587" s="126" t="s">
        <v>1530</v>
      </c>
      <c r="J587" s="126" t="s">
        <v>13</v>
      </c>
      <c r="K587" s="128" t="s">
        <v>1812</v>
      </c>
      <c r="L587" s="7" t="str">
        <f>IF(BudgetsTable[[#This Row],[pi_last_name]]=" ","",HYPERLINK("https://www.ejacket.nsf.gov/ej/showProposal.do?Continue=Y&amp;ID="&amp;BudgetsTable[[#This Row],[prop_id]],BudgetsTable[[#This Row],[prop_id]]))</f>
        <v/>
      </c>
      <c r="M587" s="15" t="str">
        <f>IF(BudgetsTable[[#This Row],[pi_last_name]]=" ","",HYPERLINK("https://www.ejacket.nsf.gov/ej/processReviewAnalysis.do?dispatch=add&amp;uniqId="&amp;BudgetsTable[[#This Row],[prop_id]]&amp;PO_id,"&gt;ra"))</f>
        <v/>
      </c>
      <c r="N587" s="128" t="s">
        <v>13</v>
      </c>
      <c r="O587" s="7" t="str">
        <f>IF(BudgetsTable[[#This Row],[pi_last_name]]=" ","",HYPERLINK("mailto:"&amp;BudgetsTable[[#This Row],[pi_email]]&amp;"&amp;subject=Your NSF Proposal:  "&amp;BudgetsTable[[#This Row],[prop_id]],BudgetsTable[[#This Row],[pi_email]]))</f>
        <v/>
      </c>
      <c r="P587" s="128" t="s">
        <v>13</v>
      </c>
      <c r="Q587" s="128">
        <v>1</v>
      </c>
      <c r="R587" s="128">
        <v>1</v>
      </c>
      <c r="S587" s="129">
        <v>0</v>
      </c>
      <c r="T587" s="129">
        <v>4000</v>
      </c>
      <c r="U587" s="129">
        <v>0</v>
      </c>
      <c r="V587" s="130">
        <v>114957</v>
      </c>
      <c r="W587" s="128">
        <v>0</v>
      </c>
      <c r="X587" s="128">
        <v>5</v>
      </c>
      <c r="Y587" s="131" t="str">
        <f ca="1">IF(ISBLANK(BudgetsTable[[#This Row],[budg_seq_yr]]),"FY"&amp;fiscalyear,"FY"&amp;fiscalyear-1+BudgetsTable[[#This Row],[budg_seq_yr]])</f>
        <v>FY22</v>
      </c>
      <c r="Z587" s="129">
        <v>114957</v>
      </c>
      <c r="AA587" s="128" t="s">
        <v>741</v>
      </c>
      <c r="AB587" s="128" t="s">
        <v>528</v>
      </c>
      <c r="AC587" s="126" t="s">
        <v>94</v>
      </c>
      <c r="AD587" s="128" t="s">
        <v>2450</v>
      </c>
    </row>
    <row r="588" spans="1:30">
      <c r="A588" s="125" t="s">
        <v>1820</v>
      </c>
      <c r="B588" s="126" t="s">
        <v>96</v>
      </c>
      <c r="C588" s="126">
        <f>C587+(BudgetsTable[[#This Row],[lead]]&lt;&gt;K587)</f>
        <v>113</v>
      </c>
      <c r="D588" s="126">
        <f>D587*(BudgetsTable[[#This Row],[lead]]=K587)+(BudgetsTable[[#This Row],[prop_id]]&lt;&gt;A587)</f>
        <v>1</v>
      </c>
      <c r="E588" s="127">
        <v>42950.663888888892</v>
      </c>
      <c r="F588" s="128" t="s">
        <v>808</v>
      </c>
      <c r="G588" s="128" t="s">
        <v>2348</v>
      </c>
      <c r="H588" s="128" t="s">
        <v>903</v>
      </c>
      <c r="I588" s="126" t="s">
        <v>1823</v>
      </c>
      <c r="J588" s="126" t="s">
        <v>2473</v>
      </c>
      <c r="K588" s="128" t="s">
        <v>1820</v>
      </c>
      <c r="L588" s="7" t="str">
        <f>IF(BudgetsTable[[#This Row],[pi_last_name]]=" ","",HYPERLINK("https://www.ejacket.nsf.gov/ej/showProposal.do?Continue=Y&amp;ID="&amp;BudgetsTable[[#This Row],[prop_id]],BudgetsTable[[#This Row],[prop_id]]))</f>
        <v>1755038</v>
      </c>
      <c r="M588" s="15" t="str">
        <f>IF(BudgetsTable[[#This Row],[pi_last_name]]=" ","",HYPERLINK("https://www.ejacket.nsf.gov/ej/processReviewAnalysis.do?dispatch=add&amp;uniqId="&amp;BudgetsTable[[#This Row],[prop_id]]&amp;PO_id,"&gt;ra"))</f>
        <v>&gt;ra</v>
      </c>
      <c r="N588" s="128" t="s">
        <v>1821</v>
      </c>
      <c r="O588" s="7" t="str">
        <f>IF(BudgetsTable[[#This Row],[pi_last_name]]=" ","",HYPERLINK("mailto:"&amp;BudgetsTable[[#This Row],[pi_email]]&amp;"&amp;subject=Your NSF Proposal:  "&amp;BudgetsTable[[#This Row],[prop_id]],BudgetsTable[[#This Row],[pi_email]]))</f>
        <v>ani.majumdar@princeton.edu</v>
      </c>
      <c r="P588" s="128" t="s">
        <v>2209</v>
      </c>
      <c r="Q588" s="128"/>
      <c r="R588" s="128"/>
      <c r="S588" s="129"/>
      <c r="T588" s="129"/>
      <c r="U588" s="129"/>
      <c r="V588" s="130"/>
      <c r="W588" s="128">
        <v>0</v>
      </c>
      <c r="X588" s="128"/>
      <c r="Y588" s="131" t="str">
        <f ca="1">IF(ISBLANK(BudgetsTable[[#This Row],[budg_seq_yr]]),"FY"&amp;fiscalyear,"FY"&amp;fiscalyear-1+BudgetsTable[[#This Row],[budg_seq_yr]])</f>
        <v>FY18</v>
      </c>
      <c r="Z588" s="129">
        <v>175000</v>
      </c>
      <c r="AA588" s="128" t="s">
        <v>2348</v>
      </c>
      <c r="AB588" s="128" t="s">
        <v>903</v>
      </c>
      <c r="AC588" s="126" t="s">
        <v>94</v>
      </c>
      <c r="AD588" s="128" t="s">
        <v>2469</v>
      </c>
    </row>
    <row r="589" spans="1:30">
      <c r="A589" s="125" t="s">
        <v>1820</v>
      </c>
      <c r="B589" s="126" t="s">
        <v>96</v>
      </c>
      <c r="C589" s="126">
        <f>C588+(BudgetsTable[[#This Row],[lead]]&lt;&gt;K588)</f>
        <v>113</v>
      </c>
      <c r="D589" s="126">
        <f>D588*(BudgetsTable[[#This Row],[lead]]=K588)+(BudgetsTable[[#This Row],[prop_id]]&lt;&gt;A588)</f>
        <v>1</v>
      </c>
      <c r="E589" s="127">
        <v>42950.663888888892</v>
      </c>
      <c r="F589" s="128" t="s">
        <v>808</v>
      </c>
      <c r="G589" s="128" t="s">
        <v>2348</v>
      </c>
      <c r="H589" s="128" t="s">
        <v>903</v>
      </c>
      <c r="I589" s="126" t="s">
        <v>1823</v>
      </c>
      <c r="J589" s="126" t="s">
        <v>13</v>
      </c>
      <c r="K589" s="128" t="s">
        <v>1820</v>
      </c>
      <c r="L589" s="7" t="str">
        <f>IF(BudgetsTable[[#This Row],[pi_last_name]]=" ","",HYPERLINK("https://www.ejacket.nsf.gov/ej/showProposal.do?Continue=Y&amp;ID="&amp;BudgetsTable[[#This Row],[prop_id]],BudgetsTable[[#This Row],[prop_id]]))</f>
        <v/>
      </c>
      <c r="M589" s="15" t="str">
        <f>IF(BudgetsTable[[#This Row],[pi_last_name]]=" ","",HYPERLINK("https://www.ejacket.nsf.gov/ej/processReviewAnalysis.do?dispatch=add&amp;uniqId="&amp;BudgetsTable[[#This Row],[prop_id]]&amp;PO_id,"&gt;ra"))</f>
        <v/>
      </c>
      <c r="N589" s="128" t="s">
        <v>13</v>
      </c>
      <c r="O589" s="7" t="str">
        <f>IF(BudgetsTable[[#This Row],[pi_last_name]]=" ","",HYPERLINK("mailto:"&amp;BudgetsTable[[#This Row],[pi_email]]&amp;"&amp;subject=Your NSF Proposal:  "&amp;BudgetsTable[[#This Row],[prop_id]],BudgetsTable[[#This Row],[pi_email]]))</f>
        <v/>
      </c>
      <c r="P589" s="128" t="s">
        <v>13</v>
      </c>
      <c r="Q589" s="128">
        <v>0</v>
      </c>
      <c r="R589" s="128">
        <v>0</v>
      </c>
      <c r="S589" s="129">
        <v>0</v>
      </c>
      <c r="T589" s="129">
        <v>0</v>
      </c>
      <c r="U589" s="129">
        <v>0</v>
      </c>
      <c r="V589" s="130">
        <v>86326</v>
      </c>
      <c r="W589" s="128">
        <v>0</v>
      </c>
      <c r="X589" s="128">
        <v>1</v>
      </c>
      <c r="Y589" s="131" t="str">
        <f ca="1">IF(ISBLANK(BudgetsTable[[#This Row],[budg_seq_yr]]),"FY"&amp;fiscalyear,"FY"&amp;fiscalyear-1+BudgetsTable[[#This Row],[budg_seq_yr]])</f>
        <v>FY18</v>
      </c>
      <c r="Z589" s="129">
        <v>86326</v>
      </c>
      <c r="AA589" s="128" t="s">
        <v>2348</v>
      </c>
      <c r="AB589" s="128" t="s">
        <v>903</v>
      </c>
      <c r="AC589" s="126" t="s">
        <v>94</v>
      </c>
      <c r="AD589" s="128" t="s">
        <v>2469</v>
      </c>
    </row>
    <row r="590" spans="1:30">
      <c r="A590" s="125" t="s">
        <v>1820</v>
      </c>
      <c r="B590" s="126" t="s">
        <v>96</v>
      </c>
      <c r="C590" s="126">
        <f>C589+(BudgetsTable[[#This Row],[lead]]&lt;&gt;K589)</f>
        <v>113</v>
      </c>
      <c r="D590" s="126">
        <f>D589*(BudgetsTable[[#This Row],[lead]]=K589)+(BudgetsTable[[#This Row],[prop_id]]&lt;&gt;A589)</f>
        <v>1</v>
      </c>
      <c r="E590" s="127">
        <v>42950.663888888892</v>
      </c>
      <c r="F590" s="128" t="s">
        <v>808</v>
      </c>
      <c r="G590" s="128" t="s">
        <v>2348</v>
      </c>
      <c r="H590" s="128" t="s">
        <v>903</v>
      </c>
      <c r="I590" s="126" t="s">
        <v>1823</v>
      </c>
      <c r="J590" s="126" t="s">
        <v>13</v>
      </c>
      <c r="K590" s="128" t="s">
        <v>1820</v>
      </c>
      <c r="L590" s="7" t="str">
        <f>IF(BudgetsTable[[#This Row],[pi_last_name]]=" ","",HYPERLINK("https://www.ejacket.nsf.gov/ej/showProposal.do?Continue=Y&amp;ID="&amp;BudgetsTable[[#This Row],[prop_id]],BudgetsTable[[#This Row],[prop_id]]))</f>
        <v/>
      </c>
      <c r="M590" s="15" t="str">
        <f>IF(BudgetsTable[[#This Row],[pi_last_name]]=" ","",HYPERLINK("https://www.ejacket.nsf.gov/ej/processReviewAnalysis.do?dispatch=add&amp;uniqId="&amp;BudgetsTable[[#This Row],[prop_id]]&amp;PO_id,"&gt;ra"))</f>
        <v/>
      </c>
      <c r="N590" s="128" t="s">
        <v>13</v>
      </c>
      <c r="O590" s="7" t="str">
        <f>IF(BudgetsTable[[#This Row],[pi_last_name]]=" ","",HYPERLINK("mailto:"&amp;BudgetsTable[[#This Row],[pi_email]]&amp;"&amp;subject=Your NSF Proposal:  "&amp;BudgetsTable[[#This Row],[prop_id]],BudgetsTable[[#This Row],[pi_email]]))</f>
        <v/>
      </c>
      <c r="P590" s="128" t="s">
        <v>13</v>
      </c>
      <c r="Q590" s="128">
        <v>0</v>
      </c>
      <c r="R590" s="128">
        <v>0</v>
      </c>
      <c r="S590" s="129">
        <v>0</v>
      </c>
      <c r="T590" s="129">
        <v>0</v>
      </c>
      <c r="U590" s="129">
        <v>0</v>
      </c>
      <c r="V590" s="130">
        <v>88674</v>
      </c>
      <c r="W590" s="128">
        <v>0</v>
      </c>
      <c r="X590" s="128">
        <v>2</v>
      </c>
      <c r="Y590" s="131" t="str">
        <f ca="1">IF(ISBLANK(BudgetsTable[[#This Row],[budg_seq_yr]]),"FY"&amp;fiscalyear,"FY"&amp;fiscalyear-1+BudgetsTable[[#This Row],[budg_seq_yr]])</f>
        <v>FY19</v>
      </c>
      <c r="Z590" s="129">
        <v>88674</v>
      </c>
      <c r="AA590" s="128" t="s">
        <v>2348</v>
      </c>
      <c r="AB590" s="128" t="s">
        <v>903</v>
      </c>
      <c r="AC590" s="126" t="s">
        <v>94</v>
      </c>
      <c r="AD590" s="128" t="s">
        <v>2469</v>
      </c>
    </row>
    <row r="591" spans="1:30">
      <c r="A591" s="125" t="s">
        <v>1847</v>
      </c>
      <c r="B591" s="126" t="s">
        <v>96</v>
      </c>
      <c r="C591" s="126">
        <f>C590+(BudgetsTable[[#This Row],[lead]]&lt;&gt;K590)</f>
        <v>114</v>
      </c>
      <c r="D591" s="126">
        <f>D590*(BudgetsTable[[#This Row],[lead]]=K590)+(BudgetsTable[[#This Row],[prop_id]]&lt;&gt;A590)</f>
        <v>1</v>
      </c>
      <c r="E591" s="127">
        <v>42954.456944444442</v>
      </c>
      <c r="F591" s="128" t="s">
        <v>808</v>
      </c>
      <c r="G591" s="128" t="s">
        <v>741</v>
      </c>
      <c r="H591" s="128" t="s">
        <v>526</v>
      </c>
      <c r="I591" s="126" t="s">
        <v>543</v>
      </c>
      <c r="J591" s="126" t="s">
        <v>2477</v>
      </c>
      <c r="K591" s="128" t="s">
        <v>1847</v>
      </c>
      <c r="L591" s="7" t="str">
        <f>IF(BudgetsTable[[#This Row],[pi_last_name]]=" ","",HYPERLINK("https://www.ejacket.nsf.gov/ej/showProposal.do?Continue=Y&amp;ID="&amp;BudgetsTable[[#This Row],[prop_id]],BudgetsTable[[#This Row],[prop_id]]))</f>
        <v>1755471</v>
      </c>
      <c r="M591" s="15" t="str">
        <f>IF(BudgetsTable[[#This Row],[pi_last_name]]=" ","",HYPERLINK("https://www.ejacket.nsf.gov/ej/processReviewAnalysis.do?dispatch=add&amp;uniqId="&amp;BudgetsTable[[#This Row],[prop_id]]&amp;PO_id,"&gt;ra"))</f>
        <v>&gt;ra</v>
      </c>
      <c r="N591" s="128" t="s">
        <v>1848</v>
      </c>
      <c r="O591" s="7" t="str">
        <f>IF(BudgetsTable[[#This Row],[pi_last_name]]=" ","",HYPERLINK("mailto:"&amp;BudgetsTable[[#This Row],[pi_email]]&amp;"&amp;subject=Your NSF Proposal:  "&amp;BudgetsTable[[#This Row],[prop_id]],BudgetsTable[[#This Row],[pi_email]]))</f>
        <v>wtong@georgiasouthern.edu</v>
      </c>
      <c r="P591" s="128" t="s">
        <v>2475</v>
      </c>
      <c r="Q591" s="128"/>
      <c r="R591" s="128"/>
      <c r="S591" s="129"/>
      <c r="T591" s="129"/>
      <c r="U591" s="129"/>
      <c r="V591" s="130"/>
      <c r="W591" s="128">
        <v>0</v>
      </c>
      <c r="X591" s="128"/>
      <c r="Y591" s="131" t="str">
        <f ca="1">IF(ISBLANK(BudgetsTable[[#This Row],[budg_seq_yr]]),"FY"&amp;fiscalyear,"FY"&amp;fiscalyear-1+BudgetsTable[[#This Row],[budg_seq_yr]])</f>
        <v>FY18</v>
      </c>
      <c r="Z591" s="129">
        <v>162689</v>
      </c>
      <c r="AA591" s="128" t="s">
        <v>741</v>
      </c>
      <c r="AB591" s="128" t="s">
        <v>526</v>
      </c>
      <c r="AC591" s="126" t="s">
        <v>94</v>
      </c>
      <c r="AD591" s="128" t="s">
        <v>810</v>
      </c>
    </row>
    <row r="592" spans="1:30">
      <c r="A592" s="125" t="s">
        <v>1847</v>
      </c>
      <c r="B592" s="126" t="s">
        <v>96</v>
      </c>
      <c r="C592" s="126">
        <f>C591+(BudgetsTable[[#This Row],[lead]]&lt;&gt;K591)</f>
        <v>114</v>
      </c>
      <c r="D592" s="126">
        <f>D591*(BudgetsTable[[#This Row],[lead]]=K591)+(BudgetsTable[[#This Row],[prop_id]]&lt;&gt;A591)</f>
        <v>1</v>
      </c>
      <c r="E592" s="127">
        <v>42954.456944444442</v>
      </c>
      <c r="F592" s="128" t="s">
        <v>808</v>
      </c>
      <c r="G592" s="128" t="s">
        <v>741</v>
      </c>
      <c r="H592" s="128" t="s">
        <v>526</v>
      </c>
      <c r="I592" s="126" t="s">
        <v>543</v>
      </c>
      <c r="J592" s="126" t="s">
        <v>13</v>
      </c>
      <c r="K592" s="128" t="s">
        <v>1847</v>
      </c>
      <c r="L592" s="7" t="str">
        <f>IF(BudgetsTable[[#This Row],[pi_last_name]]=" ","",HYPERLINK("https://www.ejacket.nsf.gov/ej/showProposal.do?Continue=Y&amp;ID="&amp;BudgetsTable[[#This Row],[prop_id]],BudgetsTable[[#This Row],[prop_id]]))</f>
        <v/>
      </c>
      <c r="M592" s="15" t="str">
        <f>IF(BudgetsTable[[#This Row],[pi_last_name]]=" ","",HYPERLINK("https://www.ejacket.nsf.gov/ej/processReviewAnalysis.do?dispatch=add&amp;uniqId="&amp;BudgetsTable[[#This Row],[prop_id]]&amp;PO_id,"&gt;ra"))</f>
        <v/>
      </c>
      <c r="N592" s="128" t="s">
        <v>13</v>
      </c>
      <c r="O592" s="7" t="str">
        <f>IF(BudgetsTable[[#This Row],[pi_last_name]]=" ","",HYPERLINK("mailto:"&amp;BudgetsTable[[#This Row],[pi_email]]&amp;"&amp;subject=Your NSF Proposal:  "&amp;BudgetsTable[[#This Row],[prop_id]],BudgetsTable[[#This Row],[pi_email]]))</f>
        <v/>
      </c>
      <c r="P592" s="128" t="s">
        <v>13</v>
      </c>
      <c r="Q592" s="128">
        <v>0</v>
      </c>
      <c r="R592" s="128">
        <v>0</v>
      </c>
      <c r="S592" s="129">
        <v>0</v>
      </c>
      <c r="T592" s="129">
        <v>4000</v>
      </c>
      <c r="U592" s="129">
        <v>0</v>
      </c>
      <c r="V592" s="130">
        <v>79936</v>
      </c>
      <c r="W592" s="128">
        <v>0</v>
      </c>
      <c r="X592" s="128">
        <v>1</v>
      </c>
      <c r="Y592" s="131" t="str">
        <f ca="1">IF(ISBLANK(BudgetsTable[[#This Row],[budg_seq_yr]]),"FY"&amp;fiscalyear,"FY"&amp;fiscalyear-1+BudgetsTable[[#This Row],[budg_seq_yr]])</f>
        <v>FY18</v>
      </c>
      <c r="Z592" s="129">
        <v>79936</v>
      </c>
      <c r="AA592" s="128" t="s">
        <v>741</v>
      </c>
      <c r="AB592" s="128" t="s">
        <v>526</v>
      </c>
      <c r="AC592" s="126" t="s">
        <v>94</v>
      </c>
      <c r="AD592" s="128" t="s">
        <v>810</v>
      </c>
    </row>
    <row r="593" spans="1:30">
      <c r="A593" s="125" t="s">
        <v>1847</v>
      </c>
      <c r="B593" s="126" t="s">
        <v>96</v>
      </c>
      <c r="C593" s="126">
        <f>C592+(BudgetsTable[[#This Row],[lead]]&lt;&gt;K592)</f>
        <v>114</v>
      </c>
      <c r="D593" s="126">
        <f>D592*(BudgetsTable[[#This Row],[lead]]=K592)+(BudgetsTable[[#This Row],[prop_id]]&lt;&gt;A592)</f>
        <v>1</v>
      </c>
      <c r="E593" s="127">
        <v>42954.456944444442</v>
      </c>
      <c r="F593" s="128" t="s">
        <v>808</v>
      </c>
      <c r="G593" s="128" t="s">
        <v>741</v>
      </c>
      <c r="H593" s="128" t="s">
        <v>526</v>
      </c>
      <c r="I593" s="126" t="s">
        <v>543</v>
      </c>
      <c r="J593" s="126" t="s">
        <v>13</v>
      </c>
      <c r="K593" s="128" t="s">
        <v>1847</v>
      </c>
      <c r="L593" s="7" t="str">
        <f>IF(BudgetsTable[[#This Row],[pi_last_name]]=" ","",HYPERLINK("https://www.ejacket.nsf.gov/ej/showProposal.do?Continue=Y&amp;ID="&amp;BudgetsTable[[#This Row],[prop_id]],BudgetsTable[[#This Row],[prop_id]]))</f>
        <v/>
      </c>
      <c r="M593" s="15" t="str">
        <f>IF(BudgetsTable[[#This Row],[pi_last_name]]=" ","",HYPERLINK("https://www.ejacket.nsf.gov/ej/processReviewAnalysis.do?dispatch=add&amp;uniqId="&amp;BudgetsTable[[#This Row],[prop_id]]&amp;PO_id,"&gt;ra"))</f>
        <v/>
      </c>
      <c r="N593" s="128" t="s">
        <v>13</v>
      </c>
      <c r="O593" s="7" t="str">
        <f>IF(BudgetsTable[[#This Row],[pi_last_name]]=" ","",HYPERLINK("mailto:"&amp;BudgetsTable[[#This Row],[pi_email]]&amp;"&amp;subject=Your NSF Proposal:  "&amp;BudgetsTable[[#This Row],[prop_id]],BudgetsTable[[#This Row],[pi_email]]))</f>
        <v/>
      </c>
      <c r="P593" s="128" t="s">
        <v>13</v>
      </c>
      <c r="Q593" s="128">
        <v>0</v>
      </c>
      <c r="R593" s="128">
        <v>0</v>
      </c>
      <c r="S593" s="129">
        <v>0</v>
      </c>
      <c r="T593" s="129">
        <v>4120</v>
      </c>
      <c r="U593" s="129">
        <v>0</v>
      </c>
      <c r="V593" s="130">
        <v>82753</v>
      </c>
      <c r="W593" s="128">
        <v>0</v>
      </c>
      <c r="X593" s="128">
        <v>2</v>
      </c>
      <c r="Y593" s="131" t="str">
        <f ca="1">IF(ISBLANK(BudgetsTable[[#This Row],[budg_seq_yr]]),"FY"&amp;fiscalyear,"FY"&amp;fiscalyear-1+BudgetsTable[[#This Row],[budg_seq_yr]])</f>
        <v>FY19</v>
      </c>
      <c r="Z593" s="129">
        <v>82753</v>
      </c>
      <c r="AA593" s="128" t="s">
        <v>741</v>
      </c>
      <c r="AB593" s="128" t="s">
        <v>526</v>
      </c>
      <c r="AC593" s="126" t="s">
        <v>94</v>
      </c>
      <c r="AD593" s="128" t="s">
        <v>810</v>
      </c>
    </row>
    <row r="594" spans="1:30">
      <c r="A594" s="125" t="s">
        <v>1854</v>
      </c>
      <c r="B594" s="126" t="s">
        <v>96</v>
      </c>
      <c r="C594" s="126">
        <f>C593+(BudgetsTable[[#This Row],[lead]]&lt;&gt;K593)</f>
        <v>115</v>
      </c>
      <c r="D594" s="126">
        <f>D593*(BudgetsTable[[#This Row],[lead]]=K593)+(BudgetsTable[[#This Row],[prop_id]]&lt;&gt;A593)</f>
        <v>1</v>
      </c>
      <c r="E594" s="127">
        <v>42954.500694444447</v>
      </c>
      <c r="F594" s="128" t="s">
        <v>808</v>
      </c>
      <c r="G594" s="128" t="s">
        <v>741</v>
      </c>
      <c r="H594" s="128" t="s">
        <v>526</v>
      </c>
      <c r="I594" s="126" t="s">
        <v>1530</v>
      </c>
      <c r="J594" s="126" t="s">
        <v>2481</v>
      </c>
      <c r="K594" s="128" t="s">
        <v>1854</v>
      </c>
      <c r="L594" s="7" t="str">
        <f>IF(BudgetsTable[[#This Row],[pi_last_name]]=" ","",HYPERLINK("https://www.ejacket.nsf.gov/ej/showProposal.do?Continue=Y&amp;ID="&amp;BudgetsTable[[#This Row],[prop_id]],BudgetsTable[[#This Row],[prop_id]]))</f>
        <v>1755481</v>
      </c>
      <c r="M594" s="15" t="str">
        <f>IF(BudgetsTable[[#This Row],[pi_last_name]]=" ","",HYPERLINK("https://www.ejacket.nsf.gov/ej/processReviewAnalysis.do?dispatch=add&amp;uniqId="&amp;BudgetsTable[[#This Row],[prop_id]]&amp;PO_id,"&gt;ra"))</f>
        <v>&gt;ra</v>
      </c>
      <c r="N594" s="128" t="s">
        <v>336</v>
      </c>
      <c r="O594" s="7" t="str">
        <f>IF(BudgetsTable[[#This Row],[pi_last_name]]=" ","",HYPERLINK("mailto:"&amp;BudgetsTable[[#This Row],[pi_email]]&amp;"&amp;subject=Your NSF Proposal:  "&amp;BudgetsTable[[#This Row],[prop_id]],BudgetsTable[[#This Row],[pi_email]]))</f>
        <v>kwang@georgiasouthern.edu</v>
      </c>
      <c r="P594" s="128" t="s">
        <v>2475</v>
      </c>
      <c r="Q594" s="128"/>
      <c r="R594" s="128"/>
      <c r="S594" s="129"/>
      <c r="T594" s="129"/>
      <c r="U594" s="129"/>
      <c r="V594" s="130"/>
      <c r="W594" s="128">
        <v>0</v>
      </c>
      <c r="X594" s="128"/>
      <c r="Y594" s="131" t="str">
        <f ca="1">IF(ISBLANK(BudgetsTable[[#This Row],[budg_seq_yr]]),"FY"&amp;fiscalyear,"FY"&amp;fiscalyear-1+BudgetsTable[[#This Row],[budg_seq_yr]])</f>
        <v>FY18</v>
      </c>
      <c r="Z594" s="129">
        <v>168126</v>
      </c>
      <c r="AA594" s="128" t="s">
        <v>741</v>
      </c>
      <c r="AB594" s="128" t="s">
        <v>526</v>
      </c>
      <c r="AC594" s="126" t="s">
        <v>94</v>
      </c>
      <c r="AD594" s="128" t="s">
        <v>810</v>
      </c>
    </row>
    <row r="595" spans="1:30">
      <c r="A595" s="125" t="s">
        <v>1854</v>
      </c>
      <c r="B595" s="126" t="s">
        <v>96</v>
      </c>
      <c r="C595" s="126">
        <f>C594+(BudgetsTable[[#This Row],[lead]]&lt;&gt;K594)</f>
        <v>115</v>
      </c>
      <c r="D595" s="126">
        <f>D594*(BudgetsTable[[#This Row],[lead]]=K594)+(BudgetsTable[[#This Row],[prop_id]]&lt;&gt;A594)</f>
        <v>1</v>
      </c>
      <c r="E595" s="127">
        <v>42954.500694444447</v>
      </c>
      <c r="F595" s="128" t="s">
        <v>808</v>
      </c>
      <c r="G595" s="128" t="s">
        <v>741</v>
      </c>
      <c r="H595" s="128" t="s">
        <v>526</v>
      </c>
      <c r="I595" s="126" t="s">
        <v>1530</v>
      </c>
      <c r="J595" s="126" t="s">
        <v>13</v>
      </c>
      <c r="K595" s="128" t="s">
        <v>1854</v>
      </c>
      <c r="L595" s="7" t="str">
        <f>IF(BudgetsTable[[#This Row],[pi_last_name]]=" ","",HYPERLINK("https://www.ejacket.nsf.gov/ej/showProposal.do?Continue=Y&amp;ID="&amp;BudgetsTable[[#This Row],[prop_id]],BudgetsTable[[#This Row],[prop_id]]))</f>
        <v/>
      </c>
      <c r="M595" s="15" t="str">
        <f>IF(BudgetsTable[[#This Row],[pi_last_name]]=" ","",HYPERLINK("https://www.ejacket.nsf.gov/ej/processReviewAnalysis.do?dispatch=add&amp;uniqId="&amp;BudgetsTable[[#This Row],[prop_id]]&amp;PO_id,"&gt;ra"))</f>
        <v/>
      </c>
      <c r="N595" s="128" t="s">
        <v>13</v>
      </c>
      <c r="O595" s="7" t="str">
        <f>IF(BudgetsTable[[#This Row],[pi_last_name]]=" ","",HYPERLINK("mailto:"&amp;BudgetsTable[[#This Row],[pi_email]]&amp;"&amp;subject=Your NSF Proposal:  "&amp;BudgetsTable[[#This Row],[prop_id]],BudgetsTable[[#This Row],[pi_email]]))</f>
        <v/>
      </c>
      <c r="P595" s="128" t="s">
        <v>13</v>
      </c>
      <c r="Q595" s="128">
        <v>0</v>
      </c>
      <c r="R595" s="128">
        <v>0</v>
      </c>
      <c r="S595" s="129">
        <v>0</v>
      </c>
      <c r="T595" s="129">
        <v>0</v>
      </c>
      <c r="U595" s="129">
        <v>0</v>
      </c>
      <c r="V595" s="130">
        <v>90062</v>
      </c>
      <c r="W595" s="128">
        <v>0</v>
      </c>
      <c r="X595" s="128">
        <v>1</v>
      </c>
      <c r="Y595" s="131" t="str">
        <f ca="1">IF(ISBLANK(BudgetsTable[[#This Row],[budg_seq_yr]]),"FY"&amp;fiscalyear,"FY"&amp;fiscalyear-1+BudgetsTable[[#This Row],[budg_seq_yr]])</f>
        <v>FY18</v>
      </c>
      <c r="Z595" s="129">
        <v>90062</v>
      </c>
      <c r="AA595" s="128" t="s">
        <v>741</v>
      </c>
      <c r="AB595" s="128" t="s">
        <v>526</v>
      </c>
      <c r="AC595" s="126" t="s">
        <v>94</v>
      </c>
      <c r="AD595" s="128" t="s">
        <v>810</v>
      </c>
    </row>
    <row r="596" spans="1:30">
      <c r="A596" s="125" t="s">
        <v>1854</v>
      </c>
      <c r="B596" s="126" t="s">
        <v>96</v>
      </c>
      <c r="C596" s="126">
        <f>C595+(BudgetsTable[[#This Row],[lead]]&lt;&gt;K595)</f>
        <v>115</v>
      </c>
      <c r="D596" s="126">
        <f>D595*(BudgetsTable[[#This Row],[lead]]=K595)+(BudgetsTable[[#This Row],[prop_id]]&lt;&gt;A595)</f>
        <v>1</v>
      </c>
      <c r="E596" s="127">
        <v>42954.500694444447</v>
      </c>
      <c r="F596" s="128" t="s">
        <v>808</v>
      </c>
      <c r="G596" s="128" t="s">
        <v>741</v>
      </c>
      <c r="H596" s="128" t="s">
        <v>526</v>
      </c>
      <c r="I596" s="126" t="s">
        <v>1530</v>
      </c>
      <c r="J596" s="126" t="s">
        <v>13</v>
      </c>
      <c r="K596" s="128" t="s">
        <v>1854</v>
      </c>
      <c r="L596" s="7" t="str">
        <f>IF(BudgetsTable[[#This Row],[pi_last_name]]=" ","",HYPERLINK("https://www.ejacket.nsf.gov/ej/showProposal.do?Continue=Y&amp;ID="&amp;BudgetsTable[[#This Row],[prop_id]],BudgetsTable[[#This Row],[prop_id]]))</f>
        <v/>
      </c>
      <c r="M596" s="15" t="str">
        <f>IF(BudgetsTable[[#This Row],[pi_last_name]]=" ","",HYPERLINK("https://www.ejacket.nsf.gov/ej/processReviewAnalysis.do?dispatch=add&amp;uniqId="&amp;BudgetsTable[[#This Row],[prop_id]]&amp;PO_id,"&gt;ra"))</f>
        <v/>
      </c>
      <c r="N596" s="128" t="s">
        <v>13</v>
      </c>
      <c r="O596" s="7" t="str">
        <f>IF(BudgetsTable[[#This Row],[pi_last_name]]=" ","",HYPERLINK("mailto:"&amp;BudgetsTable[[#This Row],[pi_email]]&amp;"&amp;subject=Your NSF Proposal:  "&amp;BudgetsTable[[#This Row],[prop_id]],BudgetsTable[[#This Row],[pi_email]]))</f>
        <v/>
      </c>
      <c r="P596" s="128" t="s">
        <v>13</v>
      </c>
      <c r="Q596" s="128">
        <v>0</v>
      </c>
      <c r="R596" s="128">
        <v>0</v>
      </c>
      <c r="S596" s="129">
        <v>0</v>
      </c>
      <c r="T596" s="129">
        <v>0</v>
      </c>
      <c r="U596" s="129">
        <v>0</v>
      </c>
      <c r="V596" s="130">
        <v>78064</v>
      </c>
      <c r="W596" s="128">
        <v>0</v>
      </c>
      <c r="X596" s="128">
        <v>2</v>
      </c>
      <c r="Y596" s="131" t="str">
        <f ca="1">IF(ISBLANK(BudgetsTable[[#This Row],[budg_seq_yr]]),"FY"&amp;fiscalyear,"FY"&amp;fiscalyear-1+BudgetsTable[[#This Row],[budg_seq_yr]])</f>
        <v>FY19</v>
      </c>
      <c r="Z596" s="129">
        <v>78064</v>
      </c>
      <c r="AA596" s="128" t="s">
        <v>741</v>
      </c>
      <c r="AB596" s="128" t="s">
        <v>526</v>
      </c>
      <c r="AC596" s="126" t="s">
        <v>94</v>
      </c>
      <c r="AD596" s="128" t="s">
        <v>810</v>
      </c>
    </row>
    <row r="597" spans="1:30">
      <c r="A597" s="125" t="s">
        <v>1860</v>
      </c>
      <c r="B597" s="126" t="s">
        <v>96</v>
      </c>
      <c r="C597" s="126">
        <f>C596+(BudgetsTable[[#This Row],[lead]]&lt;&gt;K596)</f>
        <v>116</v>
      </c>
      <c r="D597" s="126">
        <f>D596*(BudgetsTable[[#This Row],[lead]]=K596)+(BudgetsTable[[#This Row],[prop_id]]&lt;&gt;A596)</f>
        <v>1</v>
      </c>
      <c r="E597" s="127">
        <v>42955.429861111108</v>
      </c>
      <c r="F597" s="128" t="s">
        <v>808</v>
      </c>
      <c r="G597" s="128" t="s">
        <v>741</v>
      </c>
      <c r="H597" s="128" t="s">
        <v>526</v>
      </c>
      <c r="I597" s="126" t="s">
        <v>1530</v>
      </c>
      <c r="J597" s="126" t="s">
        <v>2484</v>
      </c>
      <c r="K597" s="128" t="s">
        <v>1860</v>
      </c>
      <c r="L597" s="7" t="str">
        <f>IF(BudgetsTable[[#This Row],[pi_last_name]]=" ","",HYPERLINK("https://www.ejacket.nsf.gov/ej/showProposal.do?Continue=Y&amp;ID="&amp;BudgetsTable[[#This Row],[prop_id]],BudgetsTable[[#This Row],[prop_id]]))</f>
        <v>1755548</v>
      </c>
      <c r="M597" s="15" t="str">
        <f>IF(BudgetsTable[[#This Row],[pi_last_name]]=" ","",HYPERLINK("https://www.ejacket.nsf.gov/ej/processReviewAnalysis.do?dispatch=add&amp;uniqId="&amp;BudgetsTable[[#This Row],[prop_id]]&amp;PO_id,"&gt;ra"))</f>
        <v>&gt;ra</v>
      </c>
      <c r="N597" s="128" t="s">
        <v>1861</v>
      </c>
      <c r="O597" s="7" t="str">
        <f>IF(BudgetsTable[[#This Row],[pi_last_name]]=" ","",HYPERLINK("mailto:"&amp;BudgetsTable[[#This Row],[pi_email]]&amp;"&amp;subject=Your NSF Proposal:  "&amp;BudgetsTable[[#This Row],[prop_id]],BudgetsTable[[#This Row],[pi_email]]))</f>
        <v>yzhoucs@indiana.edu</v>
      </c>
      <c r="P597" s="128" t="s">
        <v>2078</v>
      </c>
      <c r="Q597" s="128"/>
      <c r="R597" s="128"/>
      <c r="S597" s="129"/>
      <c r="T597" s="129"/>
      <c r="U597" s="129"/>
      <c r="V597" s="130"/>
      <c r="W597" s="128">
        <v>0</v>
      </c>
      <c r="X597" s="128"/>
      <c r="Y597" s="131" t="str">
        <f ca="1">IF(ISBLANK(BudgetsTable[[#This Row],[budg_seq_yr]]),"FY"&amp;fiscalyear,"FY"&amp;fiscalyear-1+BudgetsTable[[#This Row],[budg_seq_yr]])</f>
        <v>FY18</v>
      </c>
      <c r="Z597" s="129">
        <v>174974</v>
      </c>
      <c r="AA597" s="128" t="s">
        <v>741</v>
      </c>
      <c r="AB597" s="128" t="s">
        <v>526</v>
      </c>
      <c r="AC597" s="126" t="s">
        <v>94</v>
      </c>
      <c r="AD597" s="128" t="s">
        <v>810</v>
      </c>
    </row>
    <row r="598" spans="1:30">
      <c r="A598" s="125" t="s">
        <v>1860</v>
      </c>
      <c r="B598" s="126" t="s">
        <v>96</v>
      </c>
      <c r="C598" s="126">
        <f>C597+(BudgetsTable[[#This Row],[lead]]&lt;&gt;K597)</f>
        <v>116</v>
      </c>
      <c r="D598" s="126">
        <f>D597*(BudgetsTable[[#This Row],[lead]]=K597)+(BudgetsTable[[#This Row],[prop_id]]&lt;&gt;A597)</f>
        <v>1</v>
      </c>
      <c r="E598" s="127">
        <v>42955.429861111108</v>
      </c>
      <c r="F598" s="128" t="s">
        <v>808</v>
      </c>
      <c r="G598" s="128" t="s">
        <v>741</v>
      </c>
      <c r="H598" s="128" t="s">
        <v>526</v>
      </c>
      <c r="I598" s="126" t="s">
        <v>1530</v>
      </c>
      <c r="J598" s="126" t="s">
        <v>13</v>
      </c>
      <c r="K598" s="128" t="s">
        <v>1860</v>
      </c>
      <c r="L598" s="7" t="str">
        <f>IF(BudgetsTable[[#This Row],[pi_last_name]]=" ","",HYPERLINK("https://www.ejacket.nsf.gov/ej/showProposal.do?Continue=Y&amp;ID="&amp;BudgetsTable[[#This Row],[prop_id]],BudgetsTable[[#This Row],[prop_id]]))</f>
        <v/>
      </c>
      <c r="M598" s="15" t="str">
        <f>IF(BudgetsTable[[#This Row],[pi_last_name]]=" ","",HYPERLINK("https://www.ejacket.nsf.gov/ej/processReviewAnalysis.do?dispatch=add&amp;uniqId="&amp;BudgetsTable[[#This Row],[prop_id]]&amp;PO_id,"&gt;ra"))</f>
        <v/>
      </c>
      <c r="N598" s="128" t="s">
        <v>13</v>
      </c>
      <c r="O598" s="7" t="str">
        <f>IF(BudgetsTable[[#This Row],[pi_last_name]]=" ","",HYPERLINK("mailto:"&amp;BudgetsTable[[#This Row],[pi_email]]&amp;"&amp;subject=Your NSF Proposal:  "&amp;BudgetsTable[[#This Row],[prop_id]],BudgetsTable[[#This Row],[pi_email]]))</f>
        <v/>
      </c>
      <c r="P598" s="128" t="s">
        <v>13</v>
      </c>
      <c r="Q598" s="128">
        <v>0</v>
      </c>
      <c r="R598" s="128">
        <v>0</v>
      </c>
      <c r="S598" s="129">
        <v>0</v>
      </c>
      <c r="T598" s="129">
        <v>4200</v>
      </c>
      <c r="U598" s="129">
        <v>0</v>
      </c>
      <c r="V598" s="130">
        <v>63411</v>
      </c>
      <c r="W598" s="128">
        <v>0</v>
      </c>
      <c r="X598" s="128">
        <v>1</v>
      </c>
      <c r="Y598" s="131" t="str">
        <f ca="1">IF(ISBLANK(BudgetsTable[[#This Row],[budg_seq_yr]]),"FY"&amp;fiscalyear,"FY"&amp;fiscalyear-1+BudgetsTable[[#This Row],[budg_seq_yr]])</f>
        <v>FY18</v>
      </c>
      <c r="Z598" s="129">
        <v>63411</v>
      </c>
      <c r="AA598" s="128" t="s">
        <v>741</v>
      </c>
      <c r="AB598" s="128" t="s">
        <v>526</v>
      </c>
      <c r="AC598" s="126" t="s">
        <v>94</v>
      </c>
      <c r="AD598" s="128" t="s">
        <v>810</v>
      </c>
    </row>
    <row r="599" spans="1:30">
      <c r="A599" s="125" t="s">
        <v>1860</v>
      </c>
      <c r="B599" s="126" t="s">
        <v>96</v>
      </c>
      <c r="C599" s="126">
        <f>C598+(BudgetsTable[[#This Row],[lead]]&lt;&gt;K598)</f>
        <v>116</v>
      </c>
      <c r="D599" s="126">
        <f>D598*(BudgetsTable[[#This Row],[lead]]=K598)+(BudgetsTable[[#This Row],[prop_id]]&lt;&gt;A598)</f>
        <v>1</v>
      </c>
      <c r="E599" s="127">
        <v>42955.429861111108</v>
      </c>
      <c r="F599" s="128" t="s">
        <v>808</v>
      </c>
      <c r="G599" s="128" t="s">
        <v>741</v>
      </c>
      <c r="H599" s="128" t="s">
        <v>526</v>
      </c>
      <c r="I599" s="126" t="s">
        <v>1530</v>
      </c>
      <c r="J599" s="126" t="s">
        <v>13</v>
      </c>
      <c r="K599" s="128" t="s">
        <v>1860</v>
      </c>
      <c r="L599" s="7" t="str">
        <f>IF(BudgetsTable[[#This Row],[pi_last_name]]=" ","",HYPERLINK("https://www.ejacket.nsf.gov/ej/showProposal.do?Continue=Y&amp;ID="&amp;BudgetsTable[[#This Row],[prop_id]],BudgetsTable[[#This Row],[prop_id]]))</f>
        <v/>
      </c>
      <c r="M599" s="15" t="str">
        <f>IF(BudgetsTable[[#This Row],[pi_last_name]]=" ","",HYPERLINK("https://www.ejacket.nsf.gov/ej/processReviewAnalysis.do?dispatch=add&amp;uniqId="&amp;BudgetsTable[[#This Row],[prop_id]]&amp;PO_id,"&gt;ra"))</f>
        <v/>
      </c>
      <c r="N599" s="128" t="s">
        <v>13</v>
      </c>
      <c r="O599" s="7" t="str">
        <f>IF(BudgetsTable[[#This Row],[pi_last_name]]=" ","",HYPERLINK("mailto:"&amp;BudgetsTable[[#This Row],[pi_email]]&amp;"&amp;subject=Your NSF Proposal:  "&amp;BudgetsTable[[#This Row],[prop_id]],BudgetsTable[[#This Row],[pi_email]]))</f>
        <v/>
      </c>
      <c r="P599" s="128" t="s">
        <v>13</v>
      </c>
      <c r="Q599" s="128">
        <v>0</v>
      </c>
      <c r="R599" s="128">
        <v>0</v>
      </c>
      <c r="S599" s="129">
        <v>0</v>
      </c>
      <c r="T599" s="129">
        <v>4200</v>
      </c>
      <c r="U599" s="129">
        <v>0</v>
      </c>
      <c r="V599" s="130">
        <v>111563</v>
      </c>
      <c r="W599" s="128">
        <v>0</v>
      </c>
      <c r="X599" s="128">
        <v>2</v>
      </c>
      <c r="Y599" s="131" t="str">
        <f ca="1">IF(ISBLANK(BudgetsTable[[#This Row],[budg_seq_yr]]),"FY"&amp;fiscalyear,"FY"&amp;fiscalyear-1+BudgetsTable[[#This Row],[budg_seq_yr]])</f>
        <v>FY19</v>
      </c>
      <c r="Z599" s="129">
        <v>111563</v>
      </c>
      <c r="AA599" s="128" t="s">
        <v>741</v>
      </c>
      <c r="AB599" s="128" t="s">
        <v>526</v>
      </c>
      <c r="AC599" s="126" t="s">
        <v>94</v>
      </c>
      <c r="AD599" s="128" t="s">
        <v>810</v>
      </c>
    </row>
    <row r="600" spans="1:30">
      <c r="A600" s="125" t="s">
        <v>1868</v>
      </c>
      <c r="B600" s="126" t="s">
        <v>96</v>
      </c>
      <c r="C600" s="126">
        <f>C599+(BudgetsTable[[#This Row],[lead]]&lt;&gt;K599)</f>
        <v>117</v>
      </c>
      <c r="D600" s="126">
        <f>D599*(BudgetsTable[[#This Row],[lead]]=K599)+(BudgetsTable[[#This Row],[prop_id]]&lt;&gt;A599)</f>
        <v>1</v>
      </c>
      <c r="E600" s="127">
        <v>42955.700694444444</v>
      </c>
      <c r="F600" s="128" t="s">
        <v>808</v>
      </c>
      <c r="G600" s="128" t="s">
        <v>741</v>
      </c>
      <c r="H600" s="128" t="s">
        <v>526</v>
      </c>
      <c r="I600" s="126" t="s">
        <v>543</v>
      </c>
      <c r="J600" s="126" t="s">
        <v>2488</v>
      </c>
      <c r="K600" s="128" t="s">
        <v>1868</v>
      </c>
      <c r="L600" s="7" t="str">
        <f>IF(BudgetsTable[[#This Row],[pi_last_name]]=" ","",HYPERLINK("https://www.ejacket.nsf.gov/ej/showProposal.do?Continue=Y&amp;ID="&amp;BudgetsTable[[#This Row],[prop_id]],BudgetsTable[[#This Row],[prop_id]]))</f>
        <v>1755619</v>
      </c>
      <c r="M600" s="15" t="str">
        <f>IF(BudgetsTable[[#This Row],[pi_last_name]]=" ","",HYPERLINK("https://www.ejacket.nsf.gov/ej/processReviewAnalysis.do?dispatch=add&amp;uniqId="&amp;BudgetsTable[[#This Row],[prop_id]]&amp;PO_id,"&gt;ra"))</f>
        <v>&gt;ra</v>
      </c>
      <c r="N600" s="128" t="s">
        <v>1734</v>
      </c>
      <c r="O600" s="7" t="str">
        <f>IF(BudgetsTable[[#This Row],[pi_last_name]]=" ","",HYPERLINK("mailto:"&amp;BudgetsTable[[#This Row],[pi_email]]&amp;"&amp;subject=Your NSF Proposal:  "&amp;BudgetsTable[[#This Row],[prop_id]],BudgetsTable[[#This Row],[pi_email]]))</f>
        <v>jugal@illinois.edu</v>
      </c>
      <c r="P600" s="128" t="s">
        <v>339</v>
      </c>
      <c r="Q600" s="128"/>
      <c r="R600" s="128"/>
      <c r="S600" s="129"/>
      <c r="T600" s="129"/>
      <c r="U600" s="129"/>
      <c r="V600" s="130"/>
      <c r="W600" s="128">
        <v>0</v>
      </c>
      <c r="X600" s="128"/>
      <c r="Y600" s="131" t="str">
        <f ca="1">IF(ISBLANK(BudgetsTable[[#This Row],[budg_seq_yr]]),"FY"&amp;fiscalyear,"FY"&amp;fiscalyear-1+BudgetsTable[[#This Row],[budg_seq_yr]])</f>
        <v>FY18</v>
      </c>
      <c r="Z600" s="129">
        <v>175000</v>
      </c>
      <c r="AA600" s="128" t="s">
        <v>741</v>
      </c>
      <c r="AB600" s="128" t="s">
        <v>526</v>
      </c>
      <c r="AC600" s="126" t="s">
        <v>94</v>
      </c>
      <c r="AD600" s="128" t="s">
        <v>2485</v>
      </c>
    </row>
    <row r="601" spans="1:30">
      <c r="A601" s="125" t="s">
        <v>1868</v>
      </c>
      <c r="B601" s="126" t="s">
        <v>96</v>
      </c>
      <c r="C601" s="126">
        <f>C600+(BudgetsTable[[#This Row],[lead]]&lt;&gt;K600)</f>
        <v>117</v>
      </c>
      <c r="D601" s="126">
        <f>D600*(BudgetsTable[[#This Row],[lead]]=K600)+(BudgetsTable[[#This Row],[prop_id]]&lt;&gt;A600)</f>
        <v>1</v>
      </c>
      <c r="E601" s="127">
        <v>42955.700694444444</v>
      </c>
      <c r="F601" s="128" t="s">
        <v>808</v>
      </c>
      <c r="G601" s="128" t="s">
        <v>741</v>
      </c>
      <c r="H601" s="128" t="s">
        <v>526</v>
      </c>
      <c r="I601" s="126" t="s">
        <v>543</v>
      </c>
      <c r="J601" s="126" t="s">
        <v>13</v>
      </c>
      <c r="K601" s="128" t="s">
        <v>1868</v>
      </c>
      <c r="L601" s="7" t="str">
        <f>IF(BudgetsTable[[#This Row],[pi_last_name]]=" ","",HYPERLINK("https://www.ejacket.nsf.gov/ej/showProposal.do?Continue=Y&amp;ID="&amp;BudgetsTable[[#This Row],[prop_id]],BudgetsTable[[#This Row],[prop_id]]))</f>
        <v/>
      </c>
      <c r="M601" s="15" t="str">
        <f>IF(BudgetsTable[[#This Row],[pi_last_name]]=" ","",HYPERLINK("https://www.ejacket.nsf.gov/ej/processReviewAnalysis.do?dispatch=add&amp;uniqId="&amp;BudgetsTable[[#This Row],[prop_id]]&amp;PO_id,"&gt;ra"))</f>
        <v/>
      </c>
      <c r="N601" s="128" t="s">
        <v>13</v>
      </c>
      <c r="O601" s="7" t="str">
        <f>IF(BudgetsTable[[#This Row],[pi_last_name]]=" ","",HYPERLINK("mailto:"&amp;BudgetsTable[[#This Row],[pi_email]]&amp;"&amp;subject=Your NSF Proposal:  "&amp;BudgetsTable[[#This Row],[prop_id]],BudgetsTable[[#This Row],[pi_email]]))</f>
        <v/>
      </c>
      <c r="P601" s="128" t="s">
        <v>13</v>
      </c>
      <c r="Q601" s="128">
        <v>0</v>
      </c>
      <c r="R601" s="128">
        <v>0</v>
      </c>
      <c r="S601" s="129">
        <v>0</v>
      </c>
      <c r="T601" s="129">
        <v>2000</v>
      </c>
      <c r="U601" s="129">
        <v>0</v>
      </c>
      <c r="V601" s="130">
        <v>86350</v>
      </c>
      <c r="W601" s="128">
        <v>0</v>
      </c>
      <c r="X601" s="128">
        <v>1</v>
      </c>
      <c r="Y601" s="131" t="str">
        <f ca="1">IF(ISBLANK(BudgetsTable[[#This Row],[budg_seq_yr]]),"FY"&amp;fiscalyear,"FY"&amp;fiscalyear-1+BudgetsTable[[#This Row],[budg_seq_yr]])</f>
        <v>FY18</v>
      </c>
      <c r="Z601" s="129">
        <v>86350</v>
      </c>
      <c r="AA601" s="128" t="s">
        <v>741</v>
      </c>
      <c r="AB601" s="128" t="s">
        <v>526</v>
      </c>
      <c r="AC601" s="126" t="s">
        <v>94</v>
      </c>
      <c r="AD601" s="128" t="s">
        <v>2485</v>
      </c>
    </row>
    <row r="602" spans="1:30">
      <c r="A602" s="125" t="s">
        <v>1868</v>
      </c>
      <c r="B602" s="126" t="s">
        <v>96</v>
      </c>
      <c r="C602" s="126">
        <f>C601+(BudgetsTable[[#This Row],[lead]]&lt;&gt;K601)</f>
        <v>117</v>
      </c>
      <c r="D602" s="126">
        <f>D601*(BudgetsTable[[#This Row],[lead]]=K601)+(BudgetsTable[[#This Row],[prop_id]]&lt;&gt;A601)</f>
        <v>1</v>
      </c>
      <c r="E602" s="127">
        <v>42955.700694444444</v>
      </c>
      <c r="F602" s="128" t="s">
        <v>808</v>
      </c>
      <c r="G602" s="128" t="s">
        <v>741</v>
      </c>
      <c r="H602" s="128" t="s">
        <v>526</v>
      </c>
      <c r="I602" s="126" t="s">
        <v>543</v>
      </c>
      <c r="J602" s="126" t="s">
        <v>13</v>
      </c>
      <c r="K602" s="128" t="s">
        <v>1868</v>
      </c>
      <c r="L602" s="7" t="str">
        <f>IF(BudgetsTable[[#This Row],[pi_last_name]]=" ","",HYPERLINK("https://www.ejacket.nsf.gov/ej/showProposal.do?Continue=Y&amp;ID="&amp;BudgetsTable[[#This Row],[prop_id]],BudgetsTable[[#This Row],[prop_id]]))</f>
        <v/>
      </c>
      <c r="M602" s="15" t="str">
        <f>IF(BudgetsTable[[#This Row],[pi_last_name]]=" ","",HYPERLINK("https://www.ejacket.nsf.gov/ej/processReviewAnalysis.do?dispatch=add&amp;uniqId="&amp;BudgetsTable[[#This Row],[prop_id]]&amp;PO_id,"&gt;ra"))</f>
        <v/>
      </c>
      <c r="N602" s="128" t="s">
        <v>13</v>
      </c>
      <c r="O602" s="7" t="str">
        <f>IF(BudgetsTable[[#This Row],[pi_last_name]]=" ","",HYPERLINK("mailto:"&amp;BudgetsTable[[#This Row],[pi_email]]&amp;"&amp;subject=Your NSF Proposal:  "&amp;BudgetsTable[[#This Row],[prop_id]],BudgetsTable[[#This Row],[pi_email]]))</f>
        <v/>
      </c>
      <c r="P602" s="128" t="s">
        <v>13</v>
      </c>
      <c r="Q602" s="128">
        <v>0</v>
      </c>
      <c r="R602" s="128">
        <v>0</v>
      </c>
      <c r="S602" s="129">
        <v>0</v>
      </c>
      <c r="T602" s="129">
        <v>2000</v>
      </c>
      <c r="U602" s="129">
        <v>0</v>
      </c>
      <c r="V602" s="130">
        <v>88650</v>
      </c>
      <c r="W602" s="128">
        <v>0</v>
      </c>
      <c r="X602" s="128">
        <v>2</v>
      </c>
      <c r="Y602" s="131" t="str">
        <f ca="1">IF(ISBLANK(BudgetsTable[[#This Row],[budg_seq_yr]]),"FY"&amp;fiscalyear,"FY"&amp;fiscalyear-1+BudgetsTable[[#This Row],[budg_seq_yr]])</f>
        <v>FY19</v>
      </c>
      <c r="Z602" s="129">
        <v>88650</v>
      </c>
      <c r="AA602" s="128" t="s">
        <v>741</v>
      </c>
      <c r="AB602" s="128" t="s">
        <v>526</v>
      </c>
      <c r="AC602" s="126" t="s">
        <v>94</v>
      </c>
      <c r="AD602" s="128" t="s">
        <v>2485</v>
      </c>
    </row>
    <row r="603" spans="1:30">
      <c r="A603" s="125" t="s">
        <v>1874</v>
      </c>
      <c r="B603" s="126" t="s">
        <v>96</v>
      </c>
      <c r="C603" s="126">
        <f>C602+(BudgetsTable[[#This Row],[lead]]&lt;&gt;K602)</f>
        <v>118</v>
      </c>
      <c r="D603" s="126">
        <f>D602*(BudgetsTable[[#This Row],[lead]]=K602)+(BudgetsTable[[#This Row],[prop_id]]&lt;&gt;A602)</f>
        <v>1</v>
      </c>
      <c r="E603" s="127">
        <v>42956.439583333333</v>
      </c>
      <c r="F603" s="128" t="s">
        <v>808</v>
      </c>
      <c r="G603" s="128" t="s">
        <v>2348</v>
      </c>
      <c r="H603" s="128" t="s">
        <v>903</v>
      </c>
      <c r="I603" s="126" t="s">
        <v>1877</v>
      </c>
      <c r="J603" s="126" t="s">
        <v>2492</v>
      </c>
      <c r="K603" s="128" t="s">
        <v>1874</v>
      </c>
      <c r="L603" s="7" t="str">
        <f>IF(BudgetsTable[[#This Row],[pi_last_name]]=" ","",HYPERLINK("https://www.ejacket.nsf.gov/ej/showProposal.do?Continue=Y&amp;ID="&amp;BudgetsTable[[#This Row],[prop_id]],BudgetsTable[[#This Row],[prop_id]]))</f>
        <v>1755679</v>
      </c>
      <c r="M603" s="15" t="str">
        <f>IF(BudgetsTable[[#This Row],[pi_last_name]]=" ","",HYPERLINK("https://www.ejacket.nsf.gov/ej/processReviewAnalysis.do?dispatch=add&amp;uniqId="&amp;BudgetsTable[[#This Row],[prop_id]]&amp;PO_id,"&gt;ra"))</f>
        <v>&gt;ra</v>
      </c>
      <c r="N603" s="128" t="s">
        <v>1875</v>
      </c>
      <c r="O603" s="7" t="str">
        <f>IF(BudgetsTable[[#This Row],[pi_last_name]]=" ","",HYPERLINK("mailto:"&amp;BudgetsTable[[#This Row],[pi_email]]&amp;"&amp;subject=Your NSF Proposal:  "&amp;BudgetsTable[[#This Row],[prop_id]],BudgetsTable[[#This Row],[pi_email]]))</f>
        <v>feifang@cmu.edu</v>
      </c>
      <c r="P603" s="128" t="s">
        <v>2127</v>
      </c>
      <c r="Q603" s="128"/>
      <c r="R603" s="128"/>
      <c r="S603" s="129"/>
      <c r="T603" s="129"/>
      <c r="U603" s="129"/>
      <c r="V603" s="130"/>
      <c r="W603" s="128">
        <v>0</v>
      </c>
      <c r="X603" s="128"/>
      <c r="Y603" s="131" t="str">
        <f ca="1">IF(ISBLANK(BudgetsTable[[#This Row],[budg_seq_yr]]),"FY"&amp;fiscalyear,"FY"&amp;fiscalyear-1+BudgetsTable[[#This Row],[budg_seq_yr]])</f>
        <v>FY18</v>
      </c>
      <c r="Z603" s="129">
        <v>175000</v>
      </c>
      <c r="AA603" s="128" t="s">
        <v>2348</v>
      </c>
      <c r="AB603" s="128" t="s">
        <v>903</v>
      </c>
      <c r="AC603" s="126" t="s">
        <v>94</v>
      </c>
      <c r="AD603" s="128" t="s">
        <v>2469</v>
      </c>
    </row>
    <row r="604" spans="1:30">
      <c r="A604" s="125" t="s">
        <v>1874</v>
      </c>
      <c r="B604" s="126" t="s">
        <v>96</v>
      </c>
      <c r="C604" s="126">
        <f>C603+(BudgetsTable[[#This Row],[lead]]&lt;&gt;K603)</f>
        <v>118</v>
      </c>
      <c r="D604" s="126">
        <f>D603*(BudgetsTable[[#This Row],[lead]]=K603)+(BudgetsTable[[#This Row],[prop_id]]&lt;&gt;A603)</f>
        <v>1</v>
      </c>
      <c r="E604" s="127">
        <v>42956.439583333333</v>
      </c>
      <c r="F604" s="128" t="s">
        <v>808</v>
      </c>
      <c r="G604" s="128" t="s">
        <v>2348</v>
      </c>
      <c r="H604" s="128" t="s">
        <v>903</v>
      </c>
      <c r="I604" s="126" t="s">
        <v>1877</v>
      </c>
      <c r="J604" s="126" t="s">
        <v>13</v>
      </c>
      <c r="K604" s="128" t="s">
        <v>1874</v>
      </c>
      <c r="L604" s="7" t="str">
        <f>IF(BudgetsTable[[#This Row],[pi_last_name]]=" ","",HYPERLINK("https://www.ejacket.nsf.gov/ej/showProposal.do?Continue=Y&amp;ID="&amp;BudgetsTable[[#This Row],[prop_id]],BudgetsTable[[#This Row],[prop_id]]))</f>
        <v/>
      </c>
      <c r="M604" s="15" t="str">
        <f>IF(BudgetsTable[[#This Row],[pi_last_name]]=" ","",HYPERLINK("https://www.ejacket.nsf.gov/ej/processReviewAnalysis.do?dispatch=add&amp;uniqId="&amp;BudgetsTable[[#This Row],[prop_id]]&amp;PO_id,"&gt;ra"))</f>
        <v/>
      </c>
      <c r="N604" s="128" t="s">
        <v>13</v>
      </c>
      <c r="O604" s="7" t="str">
        <f>IF(BudgetsTable[[#This Row],[pi_last_name]]=" ","",HYPERLINK("mailto:"&amp;BudgetsTable[[#This Row],[pi_email]]&amp;"&amp;subject=Your NSF Proposal:  "&amp;BudgetsTable[[#This Row],[prop_id]],BudgetsTable[[#This Row],[pi_email]]))</f>
        <v/>
      </c>
      <c r="P604" s="128" t="s">
        <v>13</v>
      </c>
      <c r="Q604" s="128">
        <v>0</v>
      </c>
      <c r="R604" s="128">
        <v>0</v>
      </c>
      <c r="S604" s="129">
        <v>0</v>
      </c>
      <c r="T604" s="129">
        <v>3832</v>
      </c>
      <c r="U604" s="129">
        <v>0</v>
      </c>
      <c r="V604" s="130">
        <v>85602</v>
      </c>
      <c r="W604" s="128">
        <v>0</v>
      </c>
      <c r="X604" s="128">
        <v>1</v>
      </c>
      <c r="Y604" s="131" t="str">
        <f ca="1">IF(ISBLANK(BudgetsTable[[#This Row],[budg_seq_yr]]),"FY"&amp;fiscalyear,"FY"&amp;fiscalyear-1+BudgetsTable[[#This Row],[budg_seq_yr]])</f>
        <v>FY18</v>
      </c>
      <c r="Z604" s="129">
        <v>85602</v>
      </c>
      <c r="AA604" s="128" t="s">
        <v>2348</v>
      </c>
      <c r="AB604" s="128" t="s">
        <v>903</v>
      </c>
      <c r="AC604" s="126" t="s">
        <v>94</v>
      </c>
      <c r="AD604" s="128" t="s">
        <v>2469</v>
      </c>
    </row>
    <row r="605" spans="1:30">
      <c r="A605" s="125" t="s">
        <v>1874</v>
      </c>
      <c r="B605" s="126" t="s">
        <v>96</v>
      </c>
      <c r="C605" s="126">
        <f>C604+(BudgetsTable[[#This Row],[lead]]&lt;&gt;K604)</f>
        <v>118</v>
      </c>
      <c r="D605" s="126">
        <f>D604*(BudgetsTable[[#This Row],[lead]]=K604)+(BudgetsTable[[#This Row],[prop_id]]&lt;&gt;A604)</f>
        <v>1</v>
      </c>
      <c r="E605" s="127">
        <v>42956.439583333333</v>
      </c>
      <c r="F605" s="128" t="s">
        <v>808</v>
      </c>
      <c r="G605" s="128" t="s">
        <v>2348</v>
      </c>
      <c r="H605" s="128" t="s">
        <v>903</v>
      </c>
      <c r="I605" s="126" t="s">
        <v>1877</v>
      </c>
      <c r="J605" s="126" t="s">
        <v>13</v>
      </c>
      <c r="K605" s="128" t="s">
        <v>1874</v>
      </c>
      <c r="L605" s="7" t="str">
        <f>IF(BudgetsTable[[#This Row],[pi_last_name]]=" ","",HYPERLINK("https://www.ejacket.nsf.gov/ej/showProposal.do?Continue=Y&amp;ID="&amp;BudgetsTable[[#This Row],[prop_id]],BudgetsTable[[#This Row],[prop_id]]))</f>
        <v/>
      </c>
      <c r="M605" s="15" t="str">
        <f>IF(BudgetsTable[[#This Row],[pi_last_name]]=" ","",HYPERLINK("https://www.ejacket.nsf.gov/ej/processReviewAnalysis.do?dispatch=add&amp;uniqId="&amp;BudgetsTable[[#This Row],[prop_id]]&amp;PO_id,"&gt;ra"))</f>
        <v/>
      </c>
      <c r="N605" s="128" t="s">
        <v>13</v>
      </c>
      <c r="O605" s="7" t="str">
        <f>IF(BudgetsTable[[#This Row],[pi_last_name]]=" ","",HYPERLINK("mailto:"&amp;BudgetsTable[[#This Row],[pi_email]]&amp;"&amp;subject=Your NSF Proposal:  "&amp;BudgetsTable[[#This Row],[prop_id]],BudgetsTable[[#This Row],[pi_email]]))</f>
        <v/>
      </c>
      <c r="P605" s="128" t="s">
        <v>13</v>
      </c>
      <c r="Q605" s="128">
        <v>0</v>
      </c>
      <c r="R605" s="128">
        <v>0</v>
      </c>
      <c r="S605" s="129">
        <v>0</v>
      </c>
      <c r="T605" s="129">
        <v>3966</v>
      </c>
      <c r="U605" s="129">
        <v>0</v>
      </c>
      <c r="V605" s="130">
        <v>89398</v>
      </c>
      <c r="W605" s="128">
        <v>0</v>
      </c>
      <c r="X605" s="128">
        <v>2</v>
      </c>
      <c r="Y605" s="131" t="str">
        <f ca="1">IF(ISBLANK(BudgetsTable[[#This Row],[budg_seq_yr]]),"FY"&amp;fiscalyear,"FY"&amp;fiscalyear-1+BudgetsTable[[#This Row],[budg_seq_yr]])</f>
        <v>FY19</v>
      </c>
      <c r="Z605" s="129">
        <v>89398</v>
      </c>
      <c r="AA605" s="128" t="s">
        <v>2348</v>
      </c>
      <c r="AB605" s="128" t="s">
        <v>903</v>
      </c>
      <c r="AC605" s="126" t="s">
        <v>94</v>
      </c>
      <c r="AD605" s="128" t="s">
        <v>2469</v>
      </c>
    </row>
    <row r="606" spans="1:30">
      <c r="A606" s="125" t="s">
        <v>703</v>
      </c>
      <c r="B606" s="126" t="s">
        <v>96</v>
      </c>
      <c r="C606" s="126">
        <f>C605+(BudgetsTable[[#This Row],[lead]]&lt;&gt;K605)</f>
        <v>119</v>
      </c>
      <c r="D606" s="126">
        <f>D605*(BudgetsTable[[#This Row],[lead]]=K605)+(BudgetsTable[[#This Row],[prop_id]]&lt;&gt;A605)</f>
        <v>1</v>
      </c>
      <c r="E606" s="127">
        <v>42956.472222222219</v>
      </c>
      <c r="F606" s="128" t="s">
        <v>808</v>
      </c>
      <c r="G606" s="128" t="s">
        <v>741</v>
      </c>
      <c r="H606" s="128" t="s">
        <v>526</v>
      </c>
      <c r="I606" s="126" t="s">
        <v>540</v>
      </c>
      <c r="J606" s="126" t="s">
        <v>815</v>
      </c>
      <c r="K606" s="128" t="s">
        <v>703</v>
      </c>
      <c r="L606" s="7" t="str">
        <f>IF(BudgetsTable[[#This Row],[pi_last_name]]=" ","",HYPERLINK("https://www.ejacket.nsf.gov/ej/showProposal.do?Continue=Y&amp;ID="&amp;BudgetsTable[[#This Row],[prop_id]],BudgetsTable[[#This Row],[prop_id]]))</f>
        <v>1755702</v>
      </c>
      <c r="M606" s="15" t="str">
        <f>IF(BudgetsTable[[#This Row],[pi_last_name]]=" ","",HYPERLINK("https://www.ejacket.nsf.gov/ej/processReviewAnalysis.do?dispatch=add&amp;uniqId="&amp;BudgetsTable[[#This Row],[prop_id]]&amp;PO_id,"&gt;ra"))</f>
        <v>&gt;ra</v>
      </c>
      <c r="N606" s="128" t="s">
        <v>704</v>
      </c>
      <c r="O606" s="7" t="str">
        <f>IF(BudgetsTable[[#This Row],[pi_last_name]]=" ","",HYPERLINK("mailto:"&amp;BudgetsTable[[#This Row],[pi_email]]&amp;"&amp;subject=Your NSF Proposal:  "&amp;BudgetsTable[[#This Row],[prop_id]],BudgetsTable[[#This Row],[pi_email]]))</f>
        <v>hcharkhgard@usf.edu</v>
      </c>
      <c r="P606" s="128" t="s">
        <v>812</v>
      </c>
      <c r="Q606" s="128"/>
      <c r="R606" s="128"/>
      <c r="S606" s="129"/>
      <c r="T606" s="129"/>
      <c r="U606" s="129"/>
      <c r="V606" s="130"/>
      <c r="W606" s="128">
        <v>0</v>
      </c>
      <c r="X606" s="128"/>
      <c r="Y606" s="131" t="str">
        <f ca="1">IF(ISBLANK(BudgetsTable[[#This Row],[budg_seq_yr]]),"FY"&amp;fiscalyear,"FY"&amp;fiscalyear-1+BudgetsTable[[#This Row],[budg_seq_yr]])</f>
        <v>FY18</v>
      </c>
      <c r="Z606" s="129">
        <v>172682</v>
      </c>
      <c r="AA606" s="128" t="s">
        <v>741</v>
      </c>
      <c r="AB606" s="128" t="s">
        <v>526</v>
      </c>
      <c r="AC606" s="126" t="s">
        <v>94</v>
      </c>
      <c r="AD606" s="128" t="s">
        <v>810</v>
      </c>
    </row>
    <row r="607" spans="1:30">
      <c r="A607" s="125" t="s">
        <v>703</v>
      </c>
      <c r="B607" s="126" t="s">
        <v>96</v>
      </c>
      <c r="C607" s="126">
        <f>C606+(BudgetsTable[[#This Row],[lead]]&lt;&gt;K606)</f>
        <v>119</v>
      </c>
      <c r="D607" s="126">
        <f>D606*(BudgetsTable[[#This Row],[lead]]=K606)+(BudgetsTable[[#This Row],[prop_id]]&lt;&gt;A606)</f>
        <v>1</v>
      </c>
      <c r="E607" s="127">
        <v>42956.472222222219</v>
      </c>
      <c r="F607" s="128" t="s">
        <v>808</v>
      </c>
      <c r="G607" s="128" t="s">
        <v>741</v>
      </c>
      <c r="H607" s="128" t="s">
        <v>526</v>
      </c>
      <c r="I607" s="126" t="s">
        <v>540</v>
      </c>
      <c r="J607" s="126" t="s">
        <v>13</v>
      </c>
      <c r="K607" s="128" t="s">
        <v>703</v>
      </c>
      <c r="L607" s="7" t="str">
        <f>IF(BudgetsTable[[#This Row],[pi_last_name]]=" ","",HYPERLINK("https://www.ejacket.nsf.gov/ej/showProposal.do?Continue=Y&amp;ID="&amp;BudgetsTable[[#This Row],[prop_id]],BudgetsTable[[#This Row],[prop_id]]))</f>
        <v/>
      </c>
      <c r="M607" s="15" t="str">
        <f>IF(BudgetsTable[[#This Row],[pi_last_name]]=" ","",HYPERLINK("https://www.ejacket.nsf.gov/ej/processReviewAnalysis.do?dispatch=add&amp;uniqId="&amp;BudgetsTable[[#This Row],[prop_id]]&amp;PO_id,"&gt;ra"))</f>
        <v/>
      </c>
      <c r="N607" s="128" t="s">
        <v>13</v>
      </c>
      <c r="O607" s="7" t="str">
        <f>IF(BudgetsTable[[#This Row],[pi_last_name]]=" ","",HYPERLINK("mailto:"&amp;BudgetsTable[[#This Row],[pi_email]]&amp;"&amp;subject=Your NSF Proposal:  "&amp;BudgetsTable[[#This Row],[prop_id]],BudgetsTable[[#This Row],[pi_email]]))</f>
        <v/>
      </c>
      <c r="P607" s="128" t="s">
        <v>13</v>
      </c>
      <c r="Q607" s="128">
        <v>0</v>
      </c>
      <c r="R607" s="128">
        <v>0</v>
      </c>
      <c r="S607" s="129">
        <v>0</v>
      </c>
      <c r="T607" s="129">
        <v>0</v>
      </c>
      <c r="U607" s="129">
        <v>0</v>
      </c>
      <c r="V607" s="130">
        <v>86673</v>
      </c>
      <c r="W607" s="128">
        <v>0</v>
      </c>
      <c r="X607" s="128">
        <v>1</v>
      </c>
      <c r="Y607" s="131" t="str">
        <f ca="1">IF(ISBLANK(BudgetsTable[[#This Row],[budg_seq_yr]]),"FY"&amp;fiscalyear,"FY"&amp;fiscalyear-1+BudgetsTable[[#This Row],[budg_seq_yr]])</f>
        <v>FY18</v>
      </c>
      <c r="Z607" s="129">
        <v>86673</v>
      </c>
      <c r="AA607" s="128" t="s">
        <v>741</v>
      </c>
      <c r="AB607" s="128" t="s">
        <v>526</v>
      </c>
      <c r="AC607" s="126" t="s">
        <v>94</v>
      </c>
      <c r="AD607" s="128" t="s">
        <v>810</v>
      </c>
    </row>
    <row r="608" spans="1:30">
      <c r="A608" s="125" t="s">
        <v>703</v>
      </c>
      <c r="B608" s="126" t="s">
        <v>96</v>
      </c>
      <c r="C608" s="126">
        <f>C607+(BudgetsTable[[#This Row],[lead]]&lt;&gt;K607)</f>
        <v>119</v>
      </c>
      <c r="D608" s="126">
        <f>D607*(BudgetsTable[[#This Row],[lead]]=K607)+(BudgetsTable[[#This Row],[prop_id]]&lt;&gt;A607)</f>
        <v>1</v>
      </c>
      <c r="E608" s="127">
        <v>42956.472222222219</v>
      </c>
      <c r="F608" s="128" t="s">
        <v>808</v>
      </c>
      <c r="G608" s="128" t="s">
        <v>741</v>
      </c>
      <c r="H608" s="128" t="s">
        <v>526</v>
      </c>
      <c r="I608" s="126" t="s">
        <v>540</v>
      </c>
      <c r="J608" s="126" t="s">
        <v>13</v>
      </c>
      <c r="K608" s="128" t="s">
        <v>703</v>
      </c>
      <c r="L608" s="7" t="str">
        <f>IF(BudgetsTable[[#This Row],[pi_last_name]]=" ","",HYPERLINK("https://www.ejacket.nsf.gov/ej/showProposal.do?Continue=Y&amp;ID="&amp;BudgetsTable[[#This Row],[prop_id]],BudgetsTable[[#This Row],[prop_id]]))</f>
        <v/>
      </c>
      <c r="M608" s="15" t="str">
        <f>IF(BudgetsTable[[#This Row],[pi_last_name]]=" ","",HYPERLINK("https://www.ejacket.nsf.gov/ej/processReviewAnalysis.do?dispatch=add&amp;uniqId="&amp;BudgetsTable[[#This Row],[prop_id]]&amp;PO_id,"&gt;ra"))</f>
        <v/>
      </c>
      <c r="N608" s="128" t="s">
        <v>13</v>
      </c>
      <c r="O608" s="7" t="str">
        <f>IF(BudgetsTable[[#This Row],[pi_last_name]]=" ","",HYPERLINK("mailto:"&amp;BudgetsTable[[#This Row],[pi_email]]&amp;"&amp;subject=Your NSF Proposal:  "&amp;BudgetsTable[[#This Row],[prop_id]],BudgetsTable[[#This Row],[pi_email]]))</f>
        <v/>
      </c>
      <c r="P608" s="128" t="s">
        <v>13</v>
      </c>
      <c r="Q608" s="128">
        <v>0</v>
      </c>
      <c r="R608" s="128">
        <v>0</v>
      </c>
      <c r="S608" s="129">
        <v>0</v>
      </c>
      <c r="T608" s="129">
        <v>0</v>
      </c>
      <c r="U608" s="129">
        <v>0</v>
      </c>
      <c r="V608" s="130">
        <v>86009</v>
      </c>
      <c r="W608" s="128">
        <v>0</v>
      </c>
      <c r="X608" s="128">
        <v>2</v>
      </c>
      <c r="Y608" s="131" t="str">
        <f ca="1">IF(ISBLANK(BudgetsTable[[#This Row],[budg_seq_yr]]),"FY"&amp;fiscalyear,"FY"&amp;fiscalyear-1+BudgetsTable[[#This Row],[budg_seq_yr]])</f>
        <v>FY19</v>
      </c>
      <c r="Z608" s="129">
        <v>86009</v>
      </c>
      <c r="AA608" s="128" t="s">
        <v>741</v>
      </c>
      <c r="AB608" s="128" t="s">
        <v>526</v>
      </c>
      <c r="AC608" s="126" t="s">
        <v>94</v>
      </c>
      <c r="AD608" s="128" t="s">
        <v>810</v>
      </c>
    </row>
    <row r="609" spans="1:30">
      <c r="A609" s="125" t="s">
        <v>1895</v>
      </c>
      <c r="B609" s="126" t="s">
        <v>96</v>
      </c>
      <c r="C609" s="126">
        <f>C608+(BudgetsTable[[#This Row],[lead]]&lt;&gt;K608)</f>
        <v>120</v>
      </c>
      <c r="D609" s="126">
        <f>D608*(BudgetsTable[[#This Row],[lead]]=K608)+(BudgetsTable[[#This Row],[prop_id]]&lt;&gt;A608)</f>
        <v>1</v>
      </c>
      <c r="E609" s="127">
        <v>42956.581944444442</v>
      </c>
      <c r="F609" s="128" t="s">
        <v>808</v>
      </c>
      <c r="G609" s="128" t="s">
        <v>741</v>
      </c>
      <c r="H609" s="128" t="s">
        <v>526</v>
      </c>
      <c r="I609" s="126" t="s">
        <v>1530</v>
      </c>
      <c r="J609" s="126" t="s">
        <v>2497</v>
      </c>
      <c r="K609" s="128" t="s">
        <v>1895</v>
      </c>
      <c r="L609" s="7" t="str">
        <f>IF(BudgetsTable[[#This Row],[pi_last_name]]=" ","",HYPERLINK("https://www.ejacket.nsf.gov/ej/showProposal.do?Continue=Y&amp;ID="&amp;BudgetsTable[[#This Row],[prop_id]],BudgetsTable[[#This Row],[prop_id]]))</f>
        <v>1755791</v>
      </c>
      <c r="M609" s="15" t="str">
        <f>IF(BudgetsTable[[#This Row],[pi_last_name]]=" ","",HYPERLINK("https://www.ejacket.nsf.gov/ej/processReviewAnalysis.do?dispatch=add&amp;uniqId="&amp;BudgetsTable[[#This Row],[prop_id]]&amp;PO_id,"&gt;ra"))</f>
        <v>&gt;ra</v>
      </c>
      <c r="N609" s="128" t="s">
        <v>1896</v>
      </c>
      <c r="O609" s="7" t="str">
        <f>IF(BudgetsTable[[#This Row],[pi_last_name]]=" ","",HYPERLINK("mailto:"&amp;BudgetsTable[[#This Row],[pi_email]]&amp;"&amp;subject=Your NSF Proposal:  "&amp;BudgetsTable[[#This Row],[prop_id]],BudgetsTable[[#This Row],[pi_email]]))</f>
        <v>Mayank.Goswami@qc.cuny.edu</v>
      </c>
      <c r="P609" s="128" t="s">
        <v>2494</v>
      </c>
      <c r="Q609" s="128"/>
      <c r="R609" s="128"/>
      <c r="S609" s="129"/>
      <c r="T609" s="129"/>
      <c r="U609" s="129"/>
      <c r="V609" s="130"/>
      <c r="W609" s="128">
        <v>0</v>
      </c>
      <c r="X609" s="128"/>
      <c r="Y609" s="131" t="str">
        <f ca="1">IF(ISBLANK(BudgetsTable[[#This Row],[budg_seq_yr]]),"FY"&amp;fiscalyear,"FY"&amp;fiscalyear-1+BudgetsTable[[#This Row],[budg_seq_yr]])</f>
        <v>FY18</v>
      </c>
      <c r="Z609" s="129">
        <v>175000</v>
      </c>
      <c r="AA609" s="128" t="s">
        <v>741</v>
      </c>
      <c r="AB609" s="128" t="s">
        <v>526</v>
      </c>
      <c r="AC609" s="126" t="s">
        <v>94</v>
      </c>
      <c r="AD609" s="128" t="s">
        <v>810</v>
      </c>
    </row>
    <row r="610" spans="1:30">
      <c r="A610" s="125" t="s">
        <v>1895</v>
      </c>
      <c r="B610" s="126" t="s">
        <v>96</v>
      </c>
      <c r="C610" s="126">
        <f>C609+(BudgetsTable[[#This Row],[lead]]&lt;&gt;K609)</f>
        <v>120</v>
      </c>
      <c r="D610" s="126">
        <f>D609*(BudgetsTable[[#This Row],[lead]]=K609)+(BudgetsTable[[#This Row],[prop_id]]&lt;&gt;A609)</f>
        <v>1</v>
      </c>
      <c r="E610" s="127">
        <v>42956.581944444442</v>
      </c>
      <c r="F610" s="128" t="s">
        <v>808</v>
      </c>
      <c r="G610" s="128" t="s">
        <v>741</v>
      </c>
      <c r="H610" s="128" t="s">
        <v>526</v>
      </c>
      <c r="I610" s="126" t="s">
        <v>1530</v>
      </c>
      <c r="J610" s="126" t="s">
        <v>13</v>
      </c>
      <c r="K610" s="128" t="s">
        <v>1895</v>
      </c>
      <c r="L610" s="7" t="str">
        <f>IF(BudgetsTable[[#This Row],[pi_last_name]]=" ","",HYPERLINK("https://www.ejacket.nsf.gov/ej/showProposal.do?Continue=Y&amp;ID="&amp;BudgetsTable[[#This Row],[prop_id]],BudgetsTable[[#This Row],[prop_id]]))</f>
        <v/>
      </c>
      <c r="M610" s="15" t="str">
        <f>IF(BudgetsTable[[#This Row],[pi_last_name]]=" ","",HYPERLINK("https://www.ejacket.nsf.gov/ej/processReviewAnalysis.do?dispatch=add&amp;uniqId="&amp;BudgetsTable[[#This Row],[prop_id]]&amp;PO_id,"&gt;ra"))</f>
        <v/>
      </c>
      <c r="N610" s="128" t="s">
        <v>13</v>
      </c>
      <c r="O610" s="7" t="str">
        <f>IF(BudgetsTable[[#This Row],[pi_last_name]]=" ","",HYPERLINK("mailto:"&amp;BudgetsTable[[#This Row],[pi_email]]&amp;"&amp;subject=Your NSF Proposal:  "&amp;BudgetsTable[[#This Row],[prop_id]],BudgetsTable[[#This Row],[pi_email]]))</f>
        <v/>
      </c>
      <c r="P610" s="128" t="s">
        <v>13</v>
      </c>
      <c r="Q610" s="128">
        <v>0</v>
      </c>
      <c r="R610" s="128">
        <v>0</v>
      </c>
      <c r="S610" s="129">
        <v>0</v>
      </c>
      <c r="T610" s="129">
        <v>6000</v>
      </c>
      <c r="U610" s="129">
        <v>0</v>
      </c>
      <c r="V610" s="130">
        <v>73951</v>
      </c>
      <c r="W610" s="128">
        <v>0</v>
      </c>
      <c r="X610" s="128">
        <v>1</v>
      </c>
      <c r="Y610" s="131" t="str">
        <f ca="1">IF(ISBLANK(BudgetsTable[[#This Row],[budg_seq_yr]]),"FY"&amp;fiscalyear,"FY"&amp;fiscalyear-1+BudgetsTable[[#This Row],[budg_seq_yr]])</f>
        <v>FY18</v>
      </c>
      <c r="Z610" s="129">
        <v>73951</v>
      </c>
      <c r="AA610" s="128" t="s">
        <v>741</v>
      </c>
      <c r="AB610" s="128" t="s">
        <v>526</v>
      </c>
      <c r="AC610" s="126" t="s">
        <v>94</v>
      </c>
      <c r="AD610" s="128" t="s">
        <v>810</v>
      </c>
    </row>
    <row r="611" spans="1:30">
      <c r="A611" s="125" t="s">
        <v>1895</v>
      </c>
      <c r="B611" s="126" t="s">
        <v>96</v>
      </c>
      <c r="C611" s="126">
        <f>C610+(BudgetsTable[[#This Row],[lead]]&lt;&gt;K610)</f>
        <v>120</v>
      </c>
      <c r="D611" s="126">
        <f>D610*(BudgetsTable[[#This Row],[lead]]=K610)+(BudgetsTable[[#This Row],[prop_id]]&lt;&gt;A610)</f>
        <v>1</v>
      </c>
      <c r="E611" s="127">
        <v>42956.581944444442</v>
      </c>
      <c r="F611" s="128" t="s">
        <v>808</v>
      </c>
      <c r="G611" s="128" t="s">
        <v>741</v>
      </c>
      <c r="H611" s="128" t="s">
        <v>526</v>
      </c>
      <c r="I611" s="126" t="s">
        <v>1530</v>
      </c>
      <c r="J611" s="126" t="s">
        <v>13</v>
      </c>
      <c r="K611" s="128" t="s">
        <v>1895</v>
      </c>
      <c r="L611" s="7" t="str">
        <f>IF(BudgetsTable[[#This Row],[pi_last_name]]=" ","",HYPERLINK("https://www.ejacket.nsf.gov/ej/showProposal.do?Continue=Y&amp;ID="&amp;BudgetsTable[[#This Row],[prop_id]],BudgetsTable[[#This Row],[prop_id]]))</f>
        <v/>
      </c>
      <c r="M611" s="15" t="str">
        <f>IF(BudgetsTable[[#This Row],[pi_last_name]]=" ","",HYPERLINK("https://www.ejacket.nsf.gov/ej/processReviewAnalysis.do?dispatch=add&amp;uniqId="&amp;BudgetsTable[[#This Row],[prop_id]]&amp;PO_id,"&gt;ra"))</f>
        <v/>
      </c>
      <c r="N611" s="128" t="s">
        <v>13</v>
      </c>
      <c r="O611" s="7" t="str">
        <f>IF(BudgetsTable[[#This Row],[pi_last_name]]=" ","",HYPERLINK("mailto:"&amp;BudgetsTable[[#This Row],[pi_email]]&amp;"&amp;subject=Your NSF Proposal:  "&amp;BudgetsTable[[#This Row],[prop_id]],BudgetsTable[[#This Row],[pi_email]]))</f>
        <v/>
      </c>
      <c r="P611" s="128" t="s">
        <v>13</v>
      </c>
      <c r="Q611" s="128">
        <v>0</v>
      </c>
      <c r="R611" s="128">
        <v>0</v>
      </c>
      <c r="S611" s="129">
        <v>0</v>
      </c>
      <c r="T611" s="129">
        <v>4000</v>
      </c>
      <c r="U611" s="129">
        <v>0</v>
      </c>
      <c r="V611" s="130">
        <v>101049</v>
      </c>
      <c r="W611" s="128">
        <v>0</v>
      </c>
      <c r="X611" s="128">
        <v>2</v>
      </c>
      <c r="Y611" s="131" t="str">
        <f ca="1">IF(ISBLANK(BudgetsTable[[#This Row],[budg_seq_yr]]),"FY"&amp;fiscalyear,"FY"&amp;fiscalyear-1+BudgetsTable[[#This Row],[budg_seq_yr]])</f>
        <v>FY19</v>
      </c>
      <c r="Z611" s="129">
        <v>101049</v>
      </c>
      <c r="AA611" s="128" t="s">
        <v>741</v>
      </c>
      <c r="AB611" s="128" t="s">
        <v>526</v>
      </c>
      <c r="AC611" s="126" t="s">
        <v>94</v>
      </c>
      <c r="AD611" s="128" t="s">
        <v>810</v>
      </c>
    </row>
    <row r="612" spans="1:30">
      <c r="A612" s="125" t="s">
        <v>1903</v>
      </c>
      <c r="B612" s="126" t="s">
        <v>96</v>
      </c>
      <c r="C612" s="126">
        <f>C611+(BudgetsTable[[#This Row],[lead]]&lt;&gt;K611)</f>
        <v>121</v>
      </c>
      <c r="D612" s="126">
        <f>D611*(BudgetsTable[[#This Row],[lead]]=K611)+(BudgetsTable[[#This Row],[prop_id]]&lt;&gt;A611)</f>
        <v>1</v>
      </c>
      <c r="E612" s="127">
        <v>42956.588888888888</v>
      </c>
      <c r="F612" s="128" t="s">
        <v>808</v>
      </c>
      <c r="G612" s="128" t="s">
        <v>2348</v>
      </c>
      <c r="H612" s="128" t="s">
        <v>903</v>
      </c>
      <c r="I612" s="126" t="s">
        <v>1488</v>
      </c>
      <c r="J612" s="126" t="s">
        <v>2501</v>
      </c>
      <c r="K612" s="128" t="s">
        <v>1903</v>
      </c>
      <c r="L612" s="7" t="str">
        <f>IF(BudgetsTable[[#This Row],[pi_last_name]]=" ","",HYPERLINK("https://www.ejacket.nsf.gov/ej/showProposal.do?Continue=Y&amp;ID="&amp;BudgetsTable[[#This Row],[prop_id]],BudgetsTable[[#This Row],[prop_id]]))</f>
        <v>1755801</v>
      </c>
      <c r="M612" s="15" t="str">
        <f>IF(BudgetsTable[[#This Row],[pi_last_name]]=" ","",HYPERLINK("https://www.ejacket.nsf.gov/ej/processReviewAnalysis.do?dispatch=add&amp;uniqId="&amp;BudgetsTable[[#This Row],[prop_id]]&amp;PO_id,"&gt;ra"))</f>
        <v>&gt;ra</v>
      </c>
      <c r="N612" s="128" t="s">
        <v>1904</v>
      </c>
      <c r="O612" s="7" t="str">
        <f>IF(BudgetsTable[[#This Row],[pi_last_name]]=" ","",HYPERLINK("mailto:"&amp;BudgetsTable[[#This Row],[pi_email]]&amp;"&amp;subject=Your NSF Proposal:  "&amp;BudgetsTable[[#This Row],[prop_id]],BudgetsTable[[#This Row],[pi_email]]))</f>
        <v>tzhao80@gatech.edu</v>
      </c>
      <c r="P612" s="128" t="s">
        <v>2133</v>
      </c>
      <c r="Q612" s="128"/>
      <c r="R612" s="128"/>
      <c r="S612" s="129"/>
      <c r="T612" s="129"/>
      <c r="U612" s="129"/>
      <c r="V612" s="130"/>
      <c r="W612" s="128">
        <v>0</v>
      </c>
      <c r="X612" s="128"/>
      <c r="Y612" s="131" t="str">
        <f ca="1">IF(ISBLANK(BudgetsTable[[#This Row],[budg_seq_yr]]),"FY"&amp;fiscalyear,"FY"&amp;fiscalyear-1+BudgetsTable[[#This Row],[budg_seq_yr]])</f>
        <v>FY18</v>
      </c>
      <c r="Z612" s="129">
        <v>175000</v>
      </c>
      <c r="AA612" s="128" t="s">
        <v>2348</v>
      </c>
      <c r="AB612" s="128" t="s">
        <v>903</v>
      </c>
      <c r="AC612" s="126" t="s">
        <v>94</v>
      </c>
      <c r="AD612" s="128" t="s">
        <v>2469</v>
      </c>
    </row>
    <row r="613" spans="1:30">
      <c r="A613" s="125" t="s">
        <v>1903</v>
      </c>
      <c r="B613" s="126" t="s">
        <v>96</v>
      </c>
      <c r="C613" s="126">
        <f>C612+(BudgetsTable[[#This Row],[lead]]&lt;&gt;K612)</f>
        <v>121</v>
      </c>
      <c r="D613" s="126">
        <f>D612*(BudgetsTable[[#This Row],[lead]]=K612)+(BudgetsTable[[#This Row],[prop_id]]&lt;&gt;A612)</f>
        <v>1</v>
      </c>
      <c r="E613" s="127">
        <v>42956.588888888888</v>
      </c>
      <c r="F613" s="128" t="s">
        <v>808</v>
      </c>
      <c r="G613" s="128" t="s">
        <v>2348</v>
      </c>
      <c r="H613" s="128" t="s">
        <v>903</v>
      </c>
      <c r="I613" s="126" t="s">
        <v>1488</v>
      </c>
      <c r="J613" s="126" t="s">
        <v>13</v>
      </c>
      <c r="K613" s="128" t="s">
        <v>1903</v>
      </c>
      <c r="L613" s="7" t="str">
        <f>IF(BudgetsTable[[#This Row],[pi_last_name]]=" ","",HYPERLINK("https://www.ejacket.nsf.gov/ej/showProposal.do?Continue=Y&amp;ID="&amp;BudgetsTable[[#This Row],[prop_id]],BudgetsTable[[#This Row],[prop_id]]))</f>
        <v/>
      </c>
      <c r="M613" s="15" t="str">
        <f>IF(BudgetsTable[[#This Row],[pi_last_name]]=" ","",HYPERLINK("https://www.ejacket.nsf.gov/ej/processReviewAnalysis.do?dispatch=add&amp;uniqId="&amp;BudgetsTable[[#This Row],[prop_id]]&amp;PO_id,"&gt;ra"))</f>
        <v/>
      </c>
      <c r="N613" s="128" t="s">
        <v>13</v>
      </c>
      <c r="O613" s="7" t="str">
        <f>IF(BudgetsTable[[#This Row],[pi_last_name]]=" ","",HYPERLINK("mailto:"&amp;BudgetsTable[[#This Row],[pi_email]]&amp;"&amp;subject=Your NSF Proposal:  "&amp;BudgetsTable[[#This Row],[prop_id]],BudgetsTable[[#This Row],[pi_email]]))</f>
        <v/>
      </c>
      <c r="P613" s="128" t="s">
        <v>13</v>
      </c>
      <c r="Q613" s="128">
        <v>0</v>
      </c>
      <c r="R613" s="128">
        <v>0</v>
      </c>
      <c r="S613" s="129">
        <v>0</v>
      </c>
      <c r="T613" s="129">
        <v>0</v>
      </c>
      <c r="U613" s="129">
        <v>0</v>
      </c>
      <c r="V613" s="130">
        <v>85511</v>
      </c>
      <c r="W613" s="128">
        <v>0</v>
      </c>
      <c r="X613" s="128">
        <v>1</v>
      </c>
      <c r="Y613" s="131" t="str">
        <f ca="1">IF(ISBLANK(BudgetsTable[[#This Row],[budg_seq_yr]]),"FY"&amp;fiscalyear,"FY"&amp;fiscalyear-1+BudgetsTable[[#This Row],[budg_seq_yr]])</f>
        <v>FY18</v>
      </c>
      <c r="Z613" s="129">
        <v>85511</v>
      </c>
      <c r="AA613" s="128" t="s">
        <v>2348</v>
      </c>
      <c r="AB613" s="128" t="s">
        <v>903</v>
      </c>
      <c r="AC613" s="126" t="s">
        <v>94</v>
      </c>
      <c r="AD613" s="128" t="s">
        <v>2469</v>
      </c>
    </row>
    <row r="614" spans="1:30">
      <c r="A614" s="125" t="s">
        <v>1903</v>
      </c>
      <c r="B614" s="126" t="s">
        <v>96</v>
      </c>
      <c r="C614" s="126">
        <f>C613+(BudgetsTable[[#This Row],[lead]]&lt;&gt;K613)</f>
        <v>121</v>
      </c>
      <c r="D614" s="126">
        <f>D613*(BudgetsTable[[#This Row],[lead]]=K613)+(BudgetsTable[[#This Row],[prop_id]]&lt;&gt;A613)</f>
        <v>1</v>
      </c>
      <c r="E614" s="127">
        <v>42956.588888888888</v>
      </c>
      <c r="F614" s="128" t="s">
        <v>808</v>
      </c>
      <c r="G614" s="128" t="s">
        <v>2348</v>
      </c>
      <c r="H614" s="128" t="s">
        <v>903</v>
      </c>
      <c r="I614" s="126" t="s">
        <v>1488</v>
      </c>
      <c r="J614" s="126" t="s">
        <v>13</v>
      </c>
      <c r="K614" s="128" t="s">
        <v>1903</v>
      </c>
      <c r="L614" s="7" t="str">
        <f>IF(BudgetsTable[[#This Row],[pi_last_name]]=" ","",HYPERLINK("https://www.ejacket.nsf.gov/ej/showProposal.do?Continue=Y&amp;ID="&amp;BudgetsTable[[#This Row],[prop_id]],BudgetsTable[[#This Row],[prop_id]]))</f>
        <v/>
      </c>
      <c r="M614" s="15" t="str">
        <f>IF(BudgetsTable[[#This Row],[pi_last_name]]=" ","",HYPERLINK("https://www.ejacket.nsf.gov/ej/processReviewAnalysis.do?dispatch=add&amp;uniqId="&amp;BudgetsTable[[#This Row],[prop_id]]&amp;PO_id,"&gt;ra"))</f>
        <v/>
      </c>
      <c r="N614" s="128" t="s">
        <v>13</v>
      </c>
      <c r="O614" s="7" t="str">
        <f>IF(BudgetsTable[[#This Row],[pi_last_name]]=" ","",HYPERLINK("mailto:"&amp;BudgetsTable[[#This Row],[pi_email]]&amp;"&amp;subject=Your NSF Proposal:  "&amp;BudgetsTable[[#This Row],[prop_id]],BudgetsTable[[#This Row],[pi_email]]))</f>
        <v/>
      </c>
      <c r="P614" s="128" t="s">
        <v>13</v>
      </c>
      <c r="Q614" s="128">
        <v>0</v>
      </c>
      <c r="R614" s="128">
        <v>0</v>
      </c>
      <c r="S614" s="129">
        <v>0</v>
      </c>
      <c r="T614" s="129">
        <v>0</v>
      </c>
      <c r="U614" s="129">
        <v>0</v>
      </c>
      <c r="V614" s="130">
        <v>89489</v>
      </c>
      <c r="W614" s="128">
        <v>0</v>
      </c>
      <c r="X614" s="128">
        <v>2</v>
      </c>
      <c r="Y614" s="131" t="str">
        <f ca="1">IF(ISBLANK(BudgetsTable[[#This Row],[budg_seq_yr]]),"FY"&amp;fiscalyear,"FY"&amp;fiscalyear-1+BudgetsTable[[#This Row],[budg_seq_yr]])</f>
        <v>FY19</v>
      </c>
      <c r="Z614" s="129">
        <v>89489</v>
      </c>
      <c r="AA614" s="128" t="s">
        <v>2348</v>
      </c>
      <c r="AB614" s="128" t="s">
        <v>903</v>
      </c>
      <c r="AC614" s="126" t="s">
        <v>94</v>
      </c>
      <c r="AD614" s="128" t="s">
        <v>2469</v>
      </c>
    </row>
    <row r="615" spans="1:30">
      <c r="A615" s="125" t="s">
        <v>710</v>
      </c>
      <c r="B615" s="126" t="s">
        <v>96</v>
      </c>
      <c r="C615" s="126">
        <f>C614+(BudgetsTable[[#This Row],[lead]]&lt;&gt;K614)</f>
        <v>122</v>
      </c>
      <c r="D615" s="126">
        <f>D614*(BudgetsTable[[#This Row],[lead]]=K614)+(BudgetsTable[[#This Row],[prop_id]]&lt;&gt;A614)</f>
        <v>1</v>
      </c>
      <c r="E615" s="127">
        <v>42956.621527777781</v>
      </c>
      <c r="F615" s="128" t="s">
        <v>808</v>
      </c>
      <c r="G615" s="128" t="s">
        <v>741</v>
      </c>
      <c r="H615" s="128" t="s">
        <v>526</v>
      </c>
      <c r="I615" s="126" t="s">
        <v>543</v>
      </c>
      <c r="J615" s="126" t="s">
        <v>820</v>
      </c>
      <c r="K615" s="128" t="s">
        <v>710</v>
      </c>
      <c r="L615" s="7" t="str">
        <f>IF(BudgetsTable[[#This Row],[pi_last_name]]=" ","",HYPERLINK("https://www.ejacket.nsf.gov/ej/showProposal.do?Continue=Y&amp;ID="&amp;BudgetsTable[[#This Row],[prop_id]],BudgetsTable[[#This Row],[prop_id]]))</f>
        <v>1755847</v>
      </c>
      <c r="M615" s="15" t="str">
        <f>IF(BudgetsTable[[#This Row],[pi_last_name]]=" ","",HYPERLINK("https://www.ejacket.nsf.gov/ej/processReviewAnalysis.do?dispatch=add&amp;uniqId="&amp;BudgetsTable[[#This Row],[prop_id]]&amp;PO_id,"&gt;ra"))</f>
        <v>&gt;ra</v>
      </c>
      <c r="N615" s="128" t="s">
        <v>348</v>
      </c>
      <c r="O615" s="7" t="str">
        <f>IF(BudgetsTable[[#This Row],[pi_last_name]]=" ","",HYPERLINK("mailto:"&amp;BudgetsTable[[#This Row],[pi_email]]&amp;"&amp;subject=Your NSF Proposal:  "&amp;BudgetsTable[[#This Row],[prop_id]],BudgetsTable[[#This Row],[pi_email]]))</f>
        <v>ruoyus@illinois.edu</v>
      </c>
      <c r="P615" s="128" t="s">
        <v>339</v>
      </c>
      <c r="Q615" s="128"/>
      <c r="R615" s="128"/>
      <c r="S615" s="129"/>
      <c r="T615" s="129"/>
      <c r="U615" s="129"/>
      <c r="V615" s="130"/>
      <c r="W615" s="128">
        <v>0</v>
      </c>
      <c r="X615" s="128"/>
      <c r="Y615" s="131" t="str">
        <f ca="1">IF(ISBLANK(BudgetsTable[[#This Row],[budg_seq_yr]]),"FY"&amp;fiscalyear,"FY"&amp;fiscalyear-1+BudgetsTable[[#This Row],[budg_seq_yr]])</f>
        <v>FY18</v>
      </c>
      <c r="Z615" s="129">
        <v>175000</v>
      </c>
      <c r="AA615" s="128" t="s">
        <v>741</v>
      </c>
      <c r="AB615" s="128" t="s">
        <v>526</v>
      </c>
      <c r="AC615" s="126" t="s">
        <v>94</v>
      </c>
      <c r="AD615" s="128" t="s">
        <v>816</v>
      </c>
    </row>
    <row r="616" spans="1:30">
      <c r="A616" s="125" t="s">
        <v>710</v>
      </c>
      <c r="B616" s="126" t="s">
        <v>96</v>
      </c>
      <c r="C616" s="126">
        <f>C615+(BudgetsTable[[#This Row],[lead]]&lt;&gt;K615)</f>
        <v>122</v>
      </c>
      <c r="D616" s="126">
        <f>D615*(BudgetsTable[[#This Row],[lead]]=K615)+(BudgetsTable[[#This Row],[prop_id]]&lt;&gt;A615)</f>
        <v>1</v>
      </c>
      <c r="E616" s="127">
        <v>42956.621527777781</v>
      </c>
      <c r="F616" s="128" t="s">
        <v>808</v>
      </c>
      <c r="G616" s="128" t="s">
        <v>741</v>
      </c>
      <c r="H616" s="128" t="s">
        <v>526</v>
      </c>
      <c r="I616" s="126" t="s">
        <v>543</v>
      </c>
      <c r="J616" s="126" t="s">
        <v>13</v>
      </c>
      <c r="K616" s="128" t="s">
        <v>710</v>
      </c>
      <c r="L616" s="7" t="str">
        <f>IF(BudgetsTable[[#This Row],[pi_last_name]]=" ","",HYPERLINK("https://www.ejacket.nsf.gov/ej/showProposal.do?Continue=Y&amp;ID="&amp;BudgetsTable[[#This Row],[prop_id]],BudgetsTable[[#This Row],[prop_id]]))</f>
        <v/>
      </c>
      <c r="M616" s="15" t="str">
        <f>IF(BudgetsTable[[#This Row],[pi_last_name]]=" ","",HYPERLINK("https://www.ejacket.nsf.gov/ej/processReviewAnalysis.do?dispatch=add&amp;uniqId="&amp;BudgetsTable[[#This Row],[prop_id]]&amp;PO_id,"&gt;ra"))</f>
        <v/>
      </c>
      <c r="N616" s="128" t="s">
        <v>13</v>
      </c>
      <c r="O616" s="7" t="str">
        <f>IF(BudgetsTable[[#This Row],[pi_last_name]]=" ","",HYPERLINK("mailto:"&amp;BudgetsTable[[#This Row],[pi_email]]&amp;"&amp;subject=Your NSF Proposal:  "&amp;BudgetsTable[[#This Row],[prop_id]],BudgetsTable[[#This Row],[pi_email]]))</f>
        <v/>
      </c>
      <c r="P616" s="128" t="s">
        <v>13</v>
      </c>
      <c r="Q616" s="128">
        <v>0</v>
      </c>
      <c r="R616" s="128">
        <v>0</v>
      </c>
      <c r="S616" s="129">
        <v>0</v>
      </c>
      <c r="T616" s="129">
        <v>2000</v>
      </c>
      <c r="U616" s="129">
        <v>0</v>
      </c>
      <c r="V616" s="130">
        <v>86350</v>
      </c>
      <c r="W616" s="128">
        <v>0</v>
      </c>
      <c r="X616" s="128">
        <v>1</v>
      </c>
      <c r="Y616" s="131" t="str">
        <f ca="1">IF(ISBLANK(BudgetsTable[[#This Row],[budg_seq_yr]]),"FY"&amp;fiscalyear,"FY"&amp;fiscalyear-1+BudgetsTable[[#This Row],[budg_seq_yr]])</f>
        <v>FY18</v>
      </c>
      <c r="Z616" s="129">
        <v>86350</v>
      </c>
      <c r="AA616" s="128" t="s">
        <v>741</v>
      </c>
      <c r="AB616" s="128" t="s">
        <v>526</v>
      </c>
      <c r="AC616" s="126" t="s">
        <v>94</v>
      </c>
      <c r="AD616" s="128" t="s">
        <v>816</v>
      </c>
    </row>
    <row r="617" spans="1:30">
      <c r="A617" s="125" t="s">
        <v>710</v>
      </c>
      <c r="B617" s="126" t="s">
        <v>96</v>
      </c>
      <c r="C617" s="126">
        <f>C616+(BudgetsTable[[#This Row],[lead]]&lt;&gt;K616)</f>
        <v>122</v>
      </c>
      <c r="D617" s="126">
        <f>D616*(BudgetsTable[[#This Row],[lead]]=K616)+(BudgetsTable[[#This Row],[prop_id]]&lt;&gt;A616)</f>
        <v>1</v>
      </c>
      <c r="E617" s="127">
        <v>42956.621527777781</v>
      </c>
      <c r="F617" s="128" t="s">
        <v>808</v>
      </c>
      <c r="G617" s="128" t="s">
        <v>741</v>
      </c>
      <c r="H617" s="128" t="s">
        <v>526</v>
      </c>
      <c r="I617" s="126" t="s">
        <v>543</v>
      </c>
      <c r="J617" s="126" t="s">
        <v>13</v>
      </c>
      <c r="K617" s="128" t="s">
        <v>710</v>
      </c>
      <c r="L617" s="7" t="str">
        <f>IF(BudgetsTable[[#This Row],[pi_last_name]]=" ","",HYPERLINK("https://www.ejacket.nsf.gov/ej/showProposal.do?Continue=Y&amp;ID="&amp;BudgetsTable[[#This Row],[prop_id]],BudgetsTable[[#This Row],[prop_id]]))</f>
        <v/>
      </c>
      <c r="M617" s="15" t="str">
        <f>IF(BudgetsTable[[#This Row],[pi_last_name]]=" ","",HYPERLINK("https://www.ejacket.nsf.gov/ej/processReviewAnalysis.do?dispatch=add&amp;uniqId="&amp;BudgetsTable[[#This Row],[prop_id]]&amp;PO_id,"&gt;ra"))</f>
        <v/>
      </c>
      <c r="N617" s="128" t="s">
        <v>13</v>
      </c>
      <c r="O617" s="7" t="str">
        <f>IF(BudgetsTable[[#This Row],[pi_last_name]]=" ","",HYPERLINK("mailto:"&amp;BudgetsTable[[#This Row],[pi_email]]&amp;"&amp;subject=Your NSF Proposal:  "&amp;BudgetsTable[[#This Row],[prop_id]],BudgetsTable[[#This Row],[pi_email]]))</f>
        <v/>
      </c>
      <c r="P617" s="128" t="s">
        <v>13</v>
      </c>
      <c r="Q617" s="128">
        <v>0</v>
      </c>
      <c r="R617" s="128">
        <v>0</v>
      </c>
      <c r="S617" s="129">
        <v>0</v>
      </c>
      <c r="T617" s="129">
        <v>2000</v>
      </c>
      <c r="U617" s="129">
        <v>0</v>
      </c>
      <c r="V617" s="130">
        <v>88650</v>
      </c>
      <c r="W617" s="128">
        <v>0</v>
      </c>
      <c r="X617" s="128">
        <v>2</v>
      </c>
      <c r="Y617" s="131" t="str">
        <f ca="1">IF(ISBLANK(BudgetsTable[[#This Row],[budg_seq_yr]]),"FY"&amp;fiscalyear,"FY"&amp;fiscalyear-1+BudgetsTable[[#This Row],[budg_seq_yr]])</f>
        <v>FY19</v>
      </c>
      <c r="Z617" s="129">
        <v>88650</v>
      </c>
      <c r="AA617" s="128" t="s">
        <v>741</v>
      </c>
      <c r="AB617" s="128" t="s">
        <v>526</v>
      </c>
      <c r="AC617" s="126" t="s">
        <v>94</v>
      </c>
      <c r="AD617" s="128" t="s">
        <v>816</v>
      </c>
    </row>
    <row r="618" spans="1:30">
      <c r="A618" s="125" t="s">
        <v>716</v>
      </c>
      <c r="B618" s="126" t="s">
        <v>96</v>
      </c>
      <c r="C618" s="126">
        <f>C617+(BudgetsTable[[#This Row],[lead]]&lt;&gt;K617)</f>
        <v>123</v>
      </c>
      <c r="D618" s="126">
        <f>D617*(BudgetsTable[[#This Row],[lead]]=K617)+(BudgetsTable[[#This Row],[prop_id]]&lt;&gt;A617)</f>
        <v>1</v>
      </c>
      <c r="E618" s="127">
        <v>42956.647916666669</v>
      </c>
      <c r="F618" s="128" t="s">
        <v>808</v>
      </c>
      <c r="G618" s="128" t="s">
        <v>741</v>
      </c>
      <c r="H618" s="128" t="s">
        <v>526</v>
      </c>
      <c r="I618" s="126" t="s">
        <v>540</v>
      </c>
      <c r="J618" s="126" t="s">
        <v>826</v>
      </c>
      <c r="K618" s="128" t="s">
        <v>716</v>
      </c>
      <c r="L618" s="7" t="str">
        <f>IF(BudgetsTable[[#This Row],[pi_last_name]]=" ","",HYPERLINK("https://www.ejacket.nsf.gov/ej/showProposal.do?Continue=Y&amp;ID="&amp;BudgetsTable[[#This Row],[prop_id]],BudgetsTable[[#This Row],[prop_id]]))</f>
        <v>1755881</v>
      </c>
      <c r="M618" s="15" t="str">
        <f>IF(BudgetsTable[[#This Row],[pi_last_name]]=" ","",HYPERLINK("https://www.ejacket.nsf.gov/ej/processReviewAnalysis.do?dispatch=add&amp;uniqId="&amp;BudgetsTable[[#This Row],[prop_id]]&amp;PO_id,"&gt;ra"))</f>
        <v>&gt;ra</v>
      </c>
      <c r="N618" s="128" t="s">
        <v>717</v>
      </c>
      <c r="O618" s="7" t="str">
        <f>IF(BudgetsTable[[#This Row],[pi_last_name]]=" ","",HYPERLINK("mailto:"&amp;BudgetsTable[[#This Row],[pi_email]]&amp;"&amp;subject=Your NSF Proposal:  "&amp;BudgetsTable[[#This Row],[prop_id]],BudgetsTable[[#This Row],[pi_email]]))</f>
        <v>osan@okstate.edu</v>
      </c>
      <c r="P618" s="128" t="s">
        <v>823</v>
      </c>
      <c r="Q618" s="128"/>
      <c r="R618" s="128"/>
      <c r="S618" s="129"/>
      <c r="T618" s="129"/>
      <c r="U618" s="129"/>
      <c r="V618" s="130"/>
      <c r="W618" s="128">
        <v>0</v>
      </c>
      <c r="X618" s="128"/>
      <c r="Y618" s="131" t="str">
        <f ca="1">IF(ISBLANK(BudgetsTable[[#This Row],[budg_seq_yr]]),"FY"&amp;fiscalyear,"FY"&amp;fiscalyear-1+BudgetsTable[[#This Row],[budg_seq_yr]])</f>
        <v>FY18</v>
      </c>
      <c r="Z618" s="129">
        <v>170144</v>
      </c>
      <c r="AA618" s="128" t="s">
        <v>741</v>
      </c>
      <c r="AB618" s="128" t="s">
        <v>526</v>
      </c>
      <c r="AC618" s="126" t="s">
        <v>94</v>
      </c>
      <c r="AD618" s="128" t="s">
        <v>821</v>
      </c>
    </row>
    <row r="619" spans="1:30">
      <c r="A619" s="125" t="s">
        <v>716</v>
      </c>
      <c r="B619" s="126" t="s">
        <v>96</v>
      </c>
      <c r="C619" s="126">
        <f>C618+(BudgetsTable[[#This Row],[lead]]&lt;&gt;K618)</f>
        <v>123</v>
      </c>
      <c r="D619" s="126">
        <f>D618*(BudgetsTable[[#This Row],[lead]]=K618)+(BudgetsTable[[#This Row],[prop_id]]&lt;&gt;A618)</f>
        <v>1</v>
      </c>
      <c r="E619" s="127">
        <v>42956.647916666669</v>
      </c>
      <c r="F619" s="128" t="s">
        <v>808</v>
      </c>
      <c r="G619" s="128" t="s">
        <v>741</v>
      </c>
      <c r="H619" s="128" t="s">
        <v>526</v>
      </c>
      <c r="I619" s="126" t="s">
        <v>540</v>
      </c>
      <c r="J619" s="126" t="s">
        <v>13</v>
      </c>
      <c r="K619" s="128" t="s">
        <v>716</v>
      </c>
      <c r="L619" s="7" t="str">
        <f>IF(BudgetsTable[[#This Row],[pi_last_name]]=" ","",HYPERLINK("https://www.ejacket.nsf.gov/ej/showProposal.do?Continue=Y&amp;ID="&amp;BudgetsTable[[#This Row],[prop_id]],BudgetsTable[[#This Row],[prop_id]]))</f>
        <v/>
      </c>
      <c r="M619" s="15" t="str">
        <f>IF(BudgetsTable[[#This Row],[pi_last_name]]=" ","",HYPERLINK("https://www.ejacket.nsf.gov/ej/processReviewAnalysis.do?dispatch=add&amp;uniqId="&amp;BudgetsTable[[#This Row],[prop_id]]&amp;PO_id,"&gt;ra"))</f>
        <v/>
      </c>
      <c r="N619" s="128" t="s">
        <v>13</v>
      </c>
      <c r="O619" s="7" t="str">
        <f>IF(BudgetsTable[[#This Row],[pi_last_name]]=" ","",HYPERLINK("mailto:"&amp;BudgetsTable[[#This Row],[pi_email]]&amp;"&amp;subject=Your NSF Proposal:  "&amp;BudgetsTable[[#This Row],[prop_id]],BudgetsTable[[#This Row],[pi_email]]))</f>
        <v/>
      </c>
      <c r="P619" s="128" t="s">
        <v>13</v>
      </c>
      <c r="Q619" s="128">
        <v>0</v>
      </c>
      <c r="R619" s="128">
        <v>0</v>
      </c>
      <c r="S619" s="129">
        <v>0</v>
      </c>
      <c r="T619" s="129">
        <v>0</v>
      </c>
      <c r="U619" s="129">
        <v>0</v>
      </c>
      <c r="V619" s="130">
        <v>83724</v>
      </c>
      <c r="W619" s="128">
        <v>0</v>
      </c>
      <c r="X619" s="128">
        <v>1</v>
      </c>
      <c r="Y619" s="131" t="str">
        <f ca="1">IF(ISBLANK(BudgetsTable[[#This Row],[budg_seq_yr]]),"FY"&amp;fiscalyear,"FY"&amp;fiscalyear-1+BudgetsTable[[#This Row],[budg_seq_yr]])</f>
        <v>FY18</v>
      </c>
      <c r="Z619" s="129">
        <v>83724</v>
      </c>
      <c r="AA619" s="128" t="s">
        <v>741</v>
      </c>
      <c r="AB619" s="128" t="s">
        <v>526</v>
      </c>
      <c r="AC619" s="126" t="s">
        <v>94</v>
      </c>
      <c r="AD619" s="128" t="s">
        <v>821</v>
      </c>
    </row>
    <row r="620" spans="1:30">
      <c r="A620" s="125" t="s">
        <v>716</v>
      </c>
      <c r="B620" s="126" t="s">
        <v>96</v>
      </c>
      <c r="C620" s="126">
        <f>C619+(BudgetsTable[[#This Row],[lead]]&lt;&gt;K619)</f>
        <v>123</v>
      </c>
      <c r="D620" s="126">
        <f>D619*(BudgetsTable[[#This Row],[lead]]=K619)+(BudgetsTable[[#This Row],[prop_id]]&lt;&gt;A619)</f>
        <v>1</v>
      </c>
      <c r="E620" s="127">
        <v>42956.647916666669</v>
      </c>
      <c r="F620" s="128" t="s">
        <v>808</v>
      </c>
      <c r="G620" s="128" t="s">
        <v>741</v>
      </c>
      <c r="H620" s="128" t="s">
        <v>526</v>
      </c>
      <c r="I620" s="126" t="s">
        <v>540</v>
      </c>
      <c r="J620" s="126" t="s">
        <v>13</v>
      </c>
      <c r="K620" s="128" t="s">
        <v>716</v>
      </c>
      <c r="L620" s="7" t="str">
        <f>IF(BudgetsTable[[#This Row],[pi_last_name]]=" ","",HYPERLINK("https://www.ejacket.nsf.gov/ej/showProposal.do?Continue=Y&amp;ID="&amp;BudgetsTable[[#This Row],[prop_id]],BudgetsTable[[#This Row],[prop_id]]))</f>
        <v/>
      </c>
      <c r="M620" s="15" t="str">
        <f>IF(BudgetsTable[[#This Row],[pi_last_name]]=" ","",HYPERLINK("https://www.ejacket.nsf.gov/ej/processReviewAnalysis.do?dispatch=add&amp;uniqId="&amp;BudgetsTable[[#This Row],[prop_id]]&amp;PO_id,"&gt;ra"))</f>
        <v/>
      </c>
      <c r="N620" s="128" t="s">
        <v>13</v>
      </c>
      <c r="O620" s="7" t="str">
        <f>IF(BudgetsTable[[#This Row],[pi_last_name]]=" ","",HYPERLINK("mailto:"&amp;BudgetsTable[[#This Row],[pi_email]]&amp;"&amp;subject=Your NSF Proposal:  "&amp;BudgetsTable[[#This Row],[prop_id]],BudgetsTable[[#This Row],[pi_email]]))</f>
        <v/>
      </c>
      <c r="P620" s="128" t="s">
        <v>13</v>
      </c>
      <c r="Q620" s="128">
        <v>0</v>
      </c>
      <c r="R620" s="128">
        <v>0</v>
      </c>
      <c r="S620" s="129">
        <v>0</v>
      </c>
      <c r="T620" s="129">
        <v>0</v>
      </c>
      <c r="U620" s="129">
        <v>0</v>
      </c>
      <c r="V620" s="130">
        <v>86420</v>
      </c>
      <c r="W620" s="128">
        <v>0</v>
      </c>
      <c r="X620" s="128">
        <v>2</v>
      </c>
      <c r="Y620" s="131" t="str">
        <f ca="1">IF(ISBLANK(BudgetsTable[[#This Row],[budg_seq_yr]]),"FY"&amp;fiscalyear,"FY"&amp;fiscalyear-1+BudgetsTable[[#This Row],[budg_seq_yr]])</f>
        <v>FY19</v>
      </c>
      <c r="Z620" s="129">
        <v>86420</v>
      </c>
      <c r="AA620" s="128" t="s">
        <v>741</v>
      </c>
      <c r="AB620" s="128" t="s">
        <v>526</v>
      </c>
      <c r="AC620" s="126" t="s">
        <v>94</v>
      </c>
      <c r="AD620" s="128" t="s">
        <v>821</v>
      </c>
    </row>
    <row r="621" spans="1:30">
      <c r="A621" s="125" t="s">
        <v>1931</v>
      </c>
      <c r="B621" s="126" t="s">
        <v>96</v>
      </c>
      <c r="C621" s="126">
        <f>C620+(BudgetsTable[[#This Row],[lead]]&lt;&gt;K620)</f>
        <v>124</v>
      </c>
      <c r="D621" s="126">
        <f>D620*(BudgetsTable[[#This Row],[lead]]=K620)+(BudgetsTable[[#This Row],[prop_id]]&lt;&gt;A620)</f>
        <v>1</v>
      </c>
      <c r="E621" s="127">
        <v>42956.648611111108</v>
      </c>
      <c r="F621" s="128" t="s">
        <v>808</v>
      </c>
      <c r="G621" s="128" t="s">
        <v>741</v>
      </c>
      <c r="H621" s="128" t="s">
        <v>526</v>
      </c>
      <c r="I621" s="126" t="s">
        <v>543</v>
      </c>
      <c r="J621" s="126" t="s">
        <v>2504</v>
      </c>
      <c r="K621" s="128" t="s">
        <v>1931</v>
      </c>
      <c r="L621" s="7" t="str">
        <f>IF(BudgetsTable[[#This Row],[pi_last_name]]=" ","",HYPERLINK("https://www.ejacket.nsf.gov/ej/showProposal.do?Continue=Y&amp;ID="&amp;BudgetsTable[[#This Row],[prop_id]],BudgetsTable[[#This Row],[prop_id]]))</f>
        <v>1755885</v>
      </c>
      <c r="M621" s="15" t="str">
        <f>IF(BudgetsTable[[#This Row],[pi_last_name]]=" ","",HYPERLINK("https://www.ejacket.nsf.gov/ej/processReviewAnalysis.do?dispatch=add&amp;uniqId="&amp;BudgetsTable[[#This Row],[prop_id]]&amp;PO_id,"&gt;ra"))</f>
        <v>&gt;ra</v>
      </c>
      <c r="N621" s="128" t="s">
        <v>1932</v>
      </c>
      <c r="O621" s="7" t="str">
        <f>IF(BudgetsTable[[#This Row],[pi_last_name]]=" ","",HYPERLINK("mailto:"&amp;BudgetsTable[[#This Row],[pi_email]]&amp;"&amp;subject=Your NSF Proposal:  "&amp;BudgetsTable[[#This Row],[prop_id]],BudgetsTable[[#This Row],[pi_email]]))</f>
        <v>hhvcs@rit.edu</v>
      </c>
      <c r="P621" s="128" t="s">
        <v>2502</v>
      </c>
      <c r="Q621" s="128"/>
      <c r="R621" s="128"/>
      <c r="S621" s="129"/>
      <c r="T621" s="129"/>
      <c r="U621" s="129"/>
      <c r="V621" s="130"/>
      <c r="W621" s="128">
        <v>0</v>
      </c>
      <c r="X621" s="128"/>
      <c r="Y621" s="131" t="str">
        <f ca="1">IF(ISBLANK(BudgetsTable[[#This Row],[budg_seq_yr]]),"FY"&amp;fiscalyear,"FY"&amp;fiscalyear-1+BudgetsTable[[#This Row],[budg_seq_yr]])</f>
        <v>FY18</v>
      </c>
      <c r="Z621" s="129">
        <v>173878</v>
      </c>
      <c r="AA621" s="128" t="s">
        <v>741</v>
      </c>
      <c r="AB621" s="128" t="s">
        <v>526</v>
      </c>
      <c r="AC621" s="126" t="s">
        <v>94</v>
      </c>
      <c r="AD621" s="128" t="s">
        <v>2485</v>
      </c>
    </row>
    <row r="622" spans="1:30">
      <c r="A622" s="125" t="s">
        <v>1931</v>
      </c>
      <c r="B622" s="126" t="s">
        <v>96</v>
      </c>
      <c r="C622" s="126">
        <f>C621+(BudgetsTable[[#This Row],[lead]]&lt;&gt;K621)</f>
        <v>124</v>
      </c>
      <c r="D622" s="126">
        <f>D621*(BudgetsTable[[#This Row],[lead]]=K621)+(BudgetsTable[[#This Row],[prop_id]]&lt;&gt;A621)</f>
        <v>1</v>
      </c>
      <c r="E622" s="127">
        <v>42956.648611111108</v>
      </c>
      <c r="F622" s="128" t="s">
        <v>808</v>
      </c>
      <c r="G622" s="128" t="s">
        <v>741</v>
      </c>
      <c r="H622" s="128" t="s">
        <v>526</v>
      </c>
      <c r="I622" s="126" t="s">
        <v>543</v>
      </c>
      <c r="J622" s="126" t="s">
        <v>13</v>
      </c>
      <c r="K622" s="128" t="s">
        <v>1931</v>
      </c>
      <c r="L622" s="7" t="str">
        <f>IF(BudgetsTable[[#This Row],[pi_last_name]]=" ","",HYPERLINK("https://www.ejacket.nsf.gov/ej/showProposal.do?Continue=Y&amp;ID="&amp;BudgetsTable[[#This Row],[prop_id]],BudgetsTable[[#This Row],[prop_id]]))</f>
        <v/>
      </c>
      <c r="M622" s="15" t="str">
        <f>IF(BudgetsTable[[#This Row],[pi_last_name]]=" ","",HYPERLINK("https://www.ejacket.nsf.gov/ej/processReviewAnalysis.do?dispatch=add&amp;uniqId="&amp;BudgetsTable[[#This Row],[prop_id]]&amp;PO_id,"&gt;ra"))</f>
        <v/>
      </c>
      <c r="N622" s="128" t="s">
        <v>13</v>
      </c>
      <c r="O622" s="7" t="str">
        <f>IF(BudgetsTable[[#This Row],[pi_last_name]]=" ","",HYPERLINK("mailto:"&amp;BudgetsTable[[#This Row],[pi_email]]&amp;"&amp;subject=Your NSF Proposal:  "&amp;BudgetsTable[[#This Row],[prop_id]],BudgetsTable[[#This Row],[pi_email]]))</f>
        <v/>
      </c>
      <c r="P622" s="128" t="s">
        <v>13</v>
      </c>
      <c r="Q622" s="128">
        <v>0</v>
      </c>
      <c r="R622" s="128">
        <v>0</v>
      </c>
      <c r="S622" s="129">
        <v>0</v>
      </c>
      <c r="T622" s="129">
        <v>0</v>
      </c>
      <c r="U622" s="129">
        <v>0</v>
      </c>
      <c r="V622" s="130">
        <v>93775</v>
      </c>
      <c r="W622" s="128">
        <v>0</v>
      </c>
      <c r="X622" s="128">
        <v>1</v>
      </c>
      <c r="Y622" s="131" t="str">
        <f ca="1">IF(ISBLANK(BudgetsTable[[#This Row],[budg_seq_yr]]),"FY"&amp;fiscalyear,"FY"&amp;fiscalyear-1+BudgetsTable[[#This Row],[budg_seq_yr]])</f>
        <v>FY18</v>
      </c>
      <c r="Z622" s="129">
        <v>93775</v>
      </c>
      <c r="AA622" s="128" t="s">
        <v>741</v>
      </c>
      <c r="AB622" s="128" t="s">
        <v>526</v>
      </c>
      <c r="AC622" s="126" t="s">
        <v>94</v>
      </c>
      <c r="AD622" s="128" t="s">
        <v>2485</v>
      </c>
    </row>
    <row r="623" spans="1:30">
      <c r="A623" s="125" t="s">
        <v>1931</v>
      </c>
      <c r="B623" s="126" t="s">
        <v>96</v>
      </c>
      <c r="C623" s="126">
        <f>C622+(BudgetsTable[[#This Row],[lead]]&lt;&gt;K622)</f>
        <v>124</v>
      </c>
      <c r="D623" s="126">
        <f>D622*(BudgetsTable[[#This Row],[lead]]=K622)+(BudgetsTable[[#This Row],[prop_id]]&lt;&gt;A622)</f>
        <v>1</v>
      </c>
      <c r="E623" s="127">
        <v>42956.648611111108</v>
      </c>
      <c r="F623" s="128" t="s">
        <v>808</v>
      </c>
      <c r="G623" s="128" t="s">
        <v>741</v>
      </c>
      <c r="H623" s="128" t="s">
        <v>526</v>
      </c>
      <c r="I623" s="126" t="s">
        <v>543</v>
      </c>
      <c r="J623" s="126" t="s">
        <v>13</v>
      </c>
      <c r="K623" s="128" t="s">
        <v>1931</v>
      </c>
      <c r="L623" s="7" t="str">
        <f>IF(BudgetsTable[[#This Row],[pi_last_name]]=" ","",HYPERLINK("https://www.ejacket.nsf.gov/ej/showProposal.do?Continue=Y&amp;ID="&amp;BudgetsTable[[#This Row],[prop_id]],BudgetsTable[[#This Row],[prop_id]]))</f>
        <v/>
      </c>
      <c r="M623" s="15" t="str">
        <f>IF(BudgetsTable[[#This Row],[pi_last_name]]=" ","",HYPERLINK("https://www.ejacket.nsf.gov/ej/processReviewAnalysis.do?dispatch=add&amp;uniqId="&amp;BudgetsTable[[#This Row],[prop_id]]&amp;PO_id,"&gt;ra"))</f>
        <v/>
      </c>
      <c r="N623" s="128" t="s">
        <v>13</v>
      </c>
      <c r="O623" s="7" t="str">
        <f>IF(BudgetsTable[[#This Row],[pi_last_name]]=" ","",HYPERLINK("mailto:"&amp;BudgetsTable[[#This Row],[pi_email]]&amp;"&amp;subject=Your NSF Proposal:  "&amp;BudgetsTable[[#This Row],[prop_id]],BudgetsTable[[#This Row],[pi_email]]))</f>
        <v/>
      </c>
      <c r="P623" s="128" t="s">
        <v>13</v>
      </c>
      <c r="Q623" s="128">
        <v>0</v>
      </c>
      <c r="R623" s="128">
        <v>0</v>
      </c>
      <c r="S623" s="129">
        <v>0</v>
      </c>
      <c r="T623" s="129">
        <v>3000</v>
      </c>
      <c r="U623" s="129">
        <v>0</v>
      </c>
      <c r="V623" s="130">
        <v>80103</v>
      </c>
      <c r="W623" s="128">
        <v>0</v>
      </c>
      <c r="X623" s="128">
        <v>2</v>
      </c>
      <c r="Y623" s="131" t="str">
        <f ca="1">IF(ISBLANK(BudgetsTable[[#This Row],[budg_seq_yr]]),"FY"&amp;fiscalyear,"FY"&amp;fiscalyear-1+BudgetsTable[[#This Row],[budg_seq_yr]])</f>
        <v>FY19</v>
      </c>
      <c r="Z623" s="129">
        <v>80103</v>
      </c>
      <c r="AA623" s="128" t="s">
        <v>741</v>
      </c>
      <c r="AB623" s="128" t="s">
        <v>526</v>
      </c>
      <c r="AC623" s="126" t="s">
        <v>94</v>
      </c>
      <c r="AD623" s="128" t="s">
        <v>2485</v>
      </c>
    </row>
    <row r="624" spans="1:30">
      <c r="A624" s="125" t="s">
        <v>1938</v>
      </c>
      <c r="B624" s="126" t="s">
        <v>96</v>
      </c>
      <c r="C624" s="126">
        <f>C623+(BudgetsTable[[#This Row],[lead]]&lt;&gt;K623)</f>
        <v>125</v>
      </c>
      <c r="D624" s="126">
        <f>D623*(BudgetsTable[[#This Row],[lead]]=K623)+(BudgetsTable[[#This Row],[prop_id]]&lt;&gt;A623)</f>
        <v>1</v>
      </c>
      <c r="E624" s="127">
        <v>42956.678472222222</v>
      </c>
      <c r="F624" s="128" t="s">
        <v>808</v>
      </c>
      <c r="G624" s="128" t="s">
        <v>741</v>
      </c>
      <c r="H624" s="128" t="s">
        <v>526</v>
      </c>
      <c r="I624" s="126" t="s">
        <v>543</v>
      </c>
      <c r="J624" s="126" t="s">
        <v>2507</v>
      </c>
      <c r="K624" s="128" t="s">
        <v>1938</v>
      </c>
      <c r="L624" s="7" t="str">
        <f>IF(BudgetsTable[[#This Row],[pi_last_name]]=" ","",HYPERLINK("https://www.ejacket.nsf.gov/ej/showProposal.do?Continue=Y&amp;ID="&amp;BudgetsTable[[#This Row],[prop_id]],BudgetsTable[[#This Row],[prop_id]]))</f>
        <v>1755921</v>
      </c>
      <c r="M624" s="15" t="str">
        <f>IF(BudgetsTable[[#This Row],[pi_last_name]]=" ","",HYPERLINK("https://www.ejacket.nsf.gov/ej/processReviewAnalysis.do?dispatch=add&amp;uniqId="&amp;BudgetsTable[[#This Row],[prop_id]]&amp;PO_id,"&gt;ra"))</f>
        <v>&gt;ra</v>
      </c>
      <c r="N624" s="128" t="s">
        <v>1939</v>
      </c>
      <c r="O624" s="7" t="str">
        <f>IF(BudgetsTable[[#This Row],[pi_last_name]]=" ","",HYPERLINK("mailto:"&amp;BudgetsTable[[#This Row],[pi_email]]&amp;"&amp;subject=Your NSF Proposal:  "&amp;BudgetsTable[[#This Row],[prop_id]],BudgetsTable[[#This Row],[pi_email]]))</f>
        <v>miforbes@illinois.edu</v>
      </c>
      <c r="P624" s="128" t="s">
        <v>339</v>
      </c>
      <c r="Q624" s="128"/>
      <c r="R624" s="128"/>
      <c r="S624" s="129"/>
      <c r="T624" s="129"/>
      <c r="U624" s="129"/>
      <c r="V624" s="130"/>
      <c r="W624" s="128">
        <v>0</v>
      </c>
      <c r="X624" s="128"/>
      <c r="Y624" s="131" t="str">
        <f ca="1">IF(ISBLANK(BudgetsTable[[#This Row],[budg_seq_yr]]),"FY"&amp;fiscalyear,"FY"&amp;fiscalyear-1+BudgetsTable[[#This Row],[budg_seq_yr]])</f>
        <v>FY18</v>
      </c>
      <c r="Z624" s="129">
        <v>175000</v>
      </c>
      <c r="AA624" s="128" t="s">
        <v>741</v>
      </c>
      <c r="AB624" s="128" t="s">
        <v>526</v>
      </c>
      <c r="AC624" s="126" t="s">
        <v>94</v>
      </c>
      <c r="AD624" s="128" t="s">
        <v>2505</v>
      </c>
    </row>
    <row r="625" spans="1:30">
      <c r="A625" s="125" t="s">
        <v>1938</v>
      </c>
      <c r="B625" s="126" t="s">
        <v>96</v>
      </c>
      <c r="C625" s="126">
        <f>C624+(BudgetsTable[[#This Row],[lead]]&lt;&gt;K624)</f>
        <v>125</v>
      </c>
      <c r="D625" s="126">
        <f>D624*(BudgetsTable[[#This Row],[lead]]=K624)+(BudgetsTable[[#This Row],[prop_id]]&lt;&gt;A624)</f>
        <v>1</v>
      </c>
      <c r="E625" s="127">
        <v>42956.678472222222</v>
      </c>
      <c r="F625" s="128" t="s">
        <v>808</v>
      </c>
      <c r="G625" s="128" t="s">
        <v>741</v>
      </c>
      <c r="H625" s="128" t="s">
        <v>526</v>
      </c>
      <c r="I625" s="126" t="s">
        <v>543</v>
      </c>
      <c r="J625" s="126" t="s">
        <v>13</v>
      </c>
      <c r="K625" s="128" t="s">
        <v>1938</v>
      </c>
      <c r="L625" s="7" t="str">
        <f>IF(BudgetsTable[[#This Row],[pi_last_name]]=" ","",HYPERLINK("https://www.ejacket.nsf.gov/ej/showProposal.do?Continue=Y&amp;ID="&amp;BudgetsTable[[#This Row],[prop_id]],BudgetsTable[[#This Row],[prop_id]]))</f>
        <v/>
      </c>
      <c r="M625" s="15" t="str">
        <f>IF(BudgetsTable[[#This Row],[pi_last_name]]=" ","",HYPERLINK("https://www.ejacket.nsf.gov/ej/processReviewAnalysis.do?dispatch=add&amp;uniqId="&amp;BudgetsTable[[#This Row],[prop_id]]&amp;PO_id,"&gt;ra"))</f>
        <v/>
      </c>
      <c r="N625" s="128" t="s">
        <v>13</v>
      </c>
      <c r="O625" s="7" t="str">
        <f>IF(BudgetsTable[[#This Row],[pi_last_name]]=" ","",HYPERLINK("mailto:"&amp;BudgetsTable[[#This Row],[pi_email]]&amp;"&amp;subject=Your NSF Proposal:  "&amp;BudgetsTable[[#This Row],[prop_id]],BudgetsTable[[#This Row],[pi_email]]))</f>
        <v/>
      </c>
      <c r="P625" s="128" t="s">
        <v>13</v>
      </c>
      <c r="Q625" s="128">
        <v>0</v>
      </c>
      <c r="R625" s="128">
        <v>0</v>
      </c>
      <c r="S625" s="129">
        <v>0</v>
      </c>
      <c r="T625" s="129">
        <v>4500</v>
      </c>
      <c r="U625" s="129">
        <v>0</v>
      </c>
      <c r="V625" s="130">
        <v>86408</v>
      </c>
      <c r="W625" s="128">
        <v>0</v>
      </c>
      <c r="X625" s="128">
        <v>1</v>
      </c>
      <c r="Y625" s="131" t="str">
        <f ca="1">IF(ISBLANK(BudgetsTable[[#This Row],[budg_seq_yr]]),"FY"&amp;fiscalyear,"FY"&amp;fiscalyear-1+BudgetsTable[[#This Row],[budg_seq_yr]])</f>
        <v>FY18</v>
      </c>
      <c r="Z625" s="129">
        <v>86408</v>
      </c>
      <c r="AA625" s="128" t="s">
        <v>741</v>
      </c>
      <c r="AB625" s="128" t="s">
        <v>526</v>
      </c>
      <c r="AC625" s="126" t="s">
        <v>94</v>
      </c>
      <c r="AD625" s="128" t="s">
        <v>2505</v>
      </c>
    </row>
    <row r="626" spans="1:30">
      <c r="A626" s="125" t="s">
        <v>1938</v>
      </c>
      <c r="B626" s="126" t="s">
        <v>96</v>
      </c>
      <c r="C626" s="126">
        <f>C625+(BudgetsTable[[#This Row],[lead]]&lt;&gt;K625)</f>
        <v>125</v>
      </c>
      <c r="D626" s="126">
        <f>D625*(BudgetsTable[[#This Row],[lead]]=K625)+(BudgetsTable[[#This Row],[prop_id]]&lt;&gt;A625)</f>
        <v>1</v>
      </c>
      <c r="E626" s="127">
        <v>42956.678472222222</v>
      </c>
      <c r="F626" s="128" t="s">
        <v>808</v>
      </c>
      <c r="G626" s="128" t="s">
        <v>741</v>
      </c>
      <c r="H626" s="128" t="s">
        <v>526</v>
      </c>
      <c r="I626" s="126" t="s">
        <v>543</v>
      </c>
      <c r="J626" s="126" t="s">
        <v>13</v>
      </c>
      <c r="K626" s="128" t="s">
        <v>1938</v>
      </c>
      <c r="L626" s="7" t="str">
        <f>IF(BudgetsTable[[#This Row],[pi_last_name]]=" ","",HYPERLINK("https://www.ejacket.nsf.gov/ej/showProposal.do?Continue=Y&amp;ID="&amp;BudgetsTable[[#This Row],[prop_id]],BudgetsTable[[#This Row],[prop_id]]))</f>
        <v/>
      </c>
      <c r="M626" s="15" t="str">
        <f>IF(BudgetsTable[[#This Row],[pi_last_name]]=" ","",HYPERLINK("https://www.ejacket.nsf.gov/ej/processReviewAnalysis.do?dispatch=add&amp;uniqId="&amp;BudgetsTable[[#This Row],[prop_id]]&amp;PO_id,"&gt;ra"))</f>
        <v/>
      </c>
      <c r="N626" s="128" t="s">
        <v>13</v>
      </c>
      <c r="O626" s="7" t="str">
        <f>IF(BudgetsTable[[#This Row],[pi_last_name]]=" ","",HYPERLINK("mailto:"&amp;BudgetsTable[[#This Row],[pi_email]]&amp;"&amp;subject=Your NSF Proposal:  "&amp;BudgetsTable[[#This Row],[prop_id]],BudgetsTable[[#This Row],[pi_email]]))</f>
        <v/>
      </c>
      <c r="P626" s="128" t="s">
        <v>13</v>
      </c>
      <c r="Q626" s="128">
        <v>0</v>
      </c>
      <c r="R626" s="128">
        <v>0</v>
      </c>
      <c r="S626" s="129">
        <v>0</v>
      </c>
      <c r="T626" s="129">
        <v>4237</v>
      </c>
      <c r="U626" s="129">
        <v>0</v>
      </c>
      <c r="V626" s="130">
        <v>88592</v>
      </c>
      <c r="W626" s="128">
        <v>0</v>
      </c>
      <c r="X626" s="128">
        <v>2</v>
      </c>
      <c r="Y626" s="131" t="str">
        <f ca="1">IF(ISBLANK(BudgetsTable[[#This Row],[budg_seq_yr]]),"FY"&amp;fiscalyear,"FY"&amp;fiscalyear-1+BudgetsTable[[#This Row],[budg_seq_yr]])</f>
        <v>FY19</v>
      </c>
      <c r="Z626" s="129">
        <v>88592</v>
      </c>
      <c r="AA626" s="128" t="s">
        <v>741</v>
      </c>
      <c r="AB626" s="128" t="s">
        <v>526</v>
      </c>
      <c r="AC626" s="126" t="s">
        <v>94</v>
      </c>
      <c r="AD626" s="128" t="s">
        <v>2505</v>
      </c>
    </row>
    <row r="627" spans="1:30">
      <c r="A627" s="125" t="s">
        <v>1945</v>
      </c>
      <c r="B627" s="126" t="s">
        <v>96</v>
      </c>
      <c r="C627" s="126">
        <f>C626+(BudgetsTable[[#This Row],[lead]]&lt;&gt;K626)</f>
        <v>126</v>
      </c>
      <c r="D627" s="126">
        <f>D626*(BudgetsTable[[#This Row],[lead]]=K626)+(BudgetsTable[[#This Row],[prop_id]]&lt;&gt;A626)</f>
        <v>1</v>
      </c>
      <c r="E627" s="127">
        <v>42956.695833333331</v>
      </c>
      <c r="F627" s="128" t="s">
        <v>808</v>
      </c>
      <c r="G627" s="128" t="s">
        <v>741</v>
      </c>
      <c r="H627" s="128" t="s">
        <v>526</v>
      </c>
      <c r="I627" s="126" t="s">
        <v>543</v>
      </c>
      <c r="J627" s="126" t="s">
        <v>2512</v>
      </c>
      <c r="K627" s="128" t="s">
        <v>1945</v>
      </c>
      <c r="L627" s="7" t="str">
        <f>IF(BudgetsTable[[#This Row],[pi_last_name]]=" ","",HYPERLINK("https://www.ejacket.nsf.gov/ej/showProposal.do?Continue=Y&amp;ID="&amp;BudgetsTable[[#This Row],[prop_id]],BudgetsTable[[#This Row],[prop_id]]))</f>
        <v>1755950</v>
      </c>
      <c r="M627" s="15" t="str">
        <f>IF(BudgetsTable[[#This Row],[pi_last_name]]=" ","",HYPERLINK("https://www.ejacket.nsf.gov/ej/processReviewAnalysis.do?dispatch=add&amp;uniqId="&amp;BudgetsTable[[#This Row],[prop_id]]&amp;PO_id,"&gt;ra"))</f>
        <v>&gt;ra</v>
      </c>
      <c r="N627" s="128" t="s">
        <v>1946</v>
      </c>
      <c r="O627" s="7" t="str">
        <f>IF(BudgetsTable[[#This Row],[pi_last_name]]=" ","",HYPERLINK("mailto:"&amp;BudgetsTable[[#This Row],[pi_email]]&amp;"&amp;subject=Your NSF Proposal:  "&amp;BudgetsTable[[#This Row],[prop_id]],BudgetsTable[[#This Row],[pi_email]]))</f>
        <v>adres@asu.edu</v>
      </c>
      <c r="P627" s="128" t="s">
        <v>2509</v>
      </c>
      <c r="Q627" s="128"/>
      <c r="R627" s="128"/>
      <c r="S627" s="129"/>
      <c r="T627" s="129"/>
      <c r="U627" s="129"/>
      <c r="V627" s="130"/>
      <c r="W627" s="128">
        <v>0</v>
      </c>
      <c r="X627" s="128"/>
      <c r="Y627" s="131" t="str">
        <f ca="1">IF(ISBLANK(BudgetsTable[[#This Row],[budg_seq_yr]]),"FY"&amp;fiscalyear,"FY"&amp;fiscalyear-1+BudgetsTable[[#This Row],[budg_seq_yr]])</f>
        <v>FY18</v>
      </c>
      <c r="Z627" s="129">
        <v>175000</v>
      </c>
      <c r="AA627" s="128" t="s">
        <v>741</v>
      </c>
      <c r="AB627" s="128" t="s">
        <v>526</v>
      </c>
      <c r="AC627" s="126" t="s">
        <v>94</v>
      </c>
      <c r="AD627" s="128" t="s">
        <v>2485</v>
      </c>
    </row>
    <row r="628" spans="1:30">
      <c r="A628" s="125" t="s">
        <v>1945</v>
      </c>
      <c r="B628" s="126" t="s">
        <v>96</v>
      </c>
      <c r="C628" s="126">
        <f>C627+(BudgetsTable[[#This Row],[lead]]&lt;&gt;K627)</f>
        <v>126</v>
      </c>
      <c r="D628" s="126">
        <f>D627*(BudgetsTable[[#This Row],[lead]]=K627)+(BudgetsTable[[#This Row],[prop_id]]&lt;&gt;A627)</f>
        <v>1</v>
      </c>
      <c r="E628" s="127">
        <v>42956.695833333331</v>
      </c>
      <c r="F628" s="128" t="s">
        <v>808</v>
      </c>
      <c r="G628" s="128" t="s">
        <v>741</v>
      </c>
      <c r="H628" s="128" t="s">
        <v>526</v>
      </c>
      <c r="I628" s="126" t="s">
        <v>543</v>
      </c>
      <c r="J628" s="126" t="s">
        <v>13</v>
      </c>
      <c r="K628" s="128" t="s">
        <v>1945</v>
      </c>
      <c r="L628" s="7" t="str">
        <f>IF(BudgetsTable[[#This Row],[pi_last_name]]=" ","",HYPERLINK("https://www.ejacket.nsf.gov/ej/showProposal.do?Continue=Y&amp;ID="&amp;BudgetsTable[[#This Row],[prop_id]],BudgetsTable[[#This Row],[prop_id]]))</f>
        <v/>
      </c>
      <c r="M628" s="15" t="str">
        <f>IF(BudgetsTable[[#This Row],[pi_last_name]]=" ","",HYPERLINK("https://www.ejacket.nsf.gov/ej/processReviewAnalysis.do?dispatch=add&amp;uniqId="&amp;BudgetsTable[[#This Row],[prop_id]]&amp;PO_id,"&gt;ra"))</f>
        <v/>
      </c>
      <c r="N628" s="128" t="s">
        <v>13</v>
      </c>
      <c r="O628" s="7" t="str">
        <f>IF(BudgetsTable[[#This Row],[pi_last_name]]=" ","",HYPERLINK("mailto:"&amp;BudgetsTable[[#This Row],[pi_email]]&amp;"&amp;subject=Your NSF Proposal:  "&amp;BudgetsTable[[#This Row],[prop_id]],BudgetsTable[[#This Row],[pi_email]]))</f>
        <v/>
      </c>
      <c r="P628" s="128" t="s">
        <v>13</v>
      </c>
      <c r="Q628" s="128">
        <v>0</v>
      </c>
      <c r="R628" s="128">
        <v>0</v>
      </c>
      <c r="S628" s="129">
        <v>0</v>
      </c>
      <c r="T628" s="129">
        <v>3300</v>
      </c>
      <c r="U628" s="129">
        <v>0</v>
      </c>
      <c r="V628" s="130">
        <v>67667</v>
      </c>
      <c r="W628" s="128">
        <v>0</v>
      </c>
      <c r="X628" s="128">
        <v>1</v>
      </c>
      <c r="Y628" s="131" t="str">
        <f ca="1">IF(ISBLANK(BudgetsTable[[#This Row],[budg_seq_yr]]),"FY"&amp;fiscalyear,"FY"&amp;fiscalyear-1+BudgetsTable[[#This Row],[budg_seq_yr]])</f>
        <v>FY18</v>
      </c>
      <c r="Z628" s="129">
        <v>67667</v>
      </c>
      <c r="AA628" s="128" t="s">
        <v>741</v>
      </c>
      <c r="AB628" s="128" t="s">
        <v>526</v>
      </c>
      <c r="AC628" s="126" t="s">
        <v>94</v>
      </c>
      <c r="AD628" s="128" t="s">
        <v>2485</v>
      </c>
    </row>
    <row r="629" spans="1:30">
      <c r="A629" s="125" t="s">
        <v>1945</v>
      </c>
      <c r="B629" s="126" t="s">
        <v>96</v>
      </c>
      <c r="C629" s="126">
        <f>C628+(BudgetsTable[[#This Row],[lead]]&lt;&gt;K628)</f>
        <v>126</v>
      </c>
      <c r="D629" s="126">
        <f>D628*(BudgetsTable[[#This Row],[lead]]=K628)+(BudgetsTable[[#This Row],[prop_id]]&lt;&gt;A628)</f>
        <v>1</v>
      </c>
      <c r="E629" s="127">
        <v>42956.695833333331</v>
      </c>
      <c r="F629" s="128" t="s">
        <v>808</v>
      </c>
      <c r="G629" s="128" t="s">
        <v>741</v>
      </c>
      <c r="H629" s="128" t="s">
        <v>526</v>
      </c>
      <c r="I629" s="126" t="s">
        <v>543</v>
      </c>
      <c r="J629" s="126" t="s">
        <v>13</v>
      </c>
      <c r="K629" s="128" t="s">
        <v>1945</v>
      </c>
      <c r="L629" s="7" t="str">
        <f>IF(BudgetsTable[[#This Row],[pi_last_name]]=" ","",HYPERLINK("https://www.ejacket.nsf.gov/ej/showProposal.do?Continue=Y&amp;ID="&amp;BudgetsTable[[#This Row],[prop_id]],BudgetsTable[[#This Row],[prop_id]]))</f>
        <v/>
      </c>
      <c r="M629" s="15" t="str">
        <f>IF(BudgetsTable[[#This Row],[pi_last_name]]=" ","",HYPERLINK("https://www.ejacket.nsf.gov/ej/processReviewAnalysis.do?dispatch=add&amp;uniqId="&amp;BudgetsTable[[#This Row],[prop_id]]&amp;PO_id,"&gt;ra"))</f>
        <v/>
      </c>
      <c r="N629" s="128" t="s">
        <v>13</v>
      </c>
      <c r="O629" s="7" t="str">
        <f>IF(BudgetsTable[[#This Row],[pi_last_name]]=" ","",HYPERLINK("mailto:"&amp;BudgetsTable[[#This Row],[pi_email]]&amp;"&amp;subject=Your NSF Proposal:  "&amp;BudgetsTable[[#This Row],[prop_id]],BudgetsTable[[#This Row],[pi_email]]))</f>
        <v/>
      </c>
      <c r="P629" s="128" t="s">
        <v>13</v>
      </c>
      <c r="Q629" s="128">
        <v>0</v>
      </c>
      <c r="R629" s="128">
        <v>0</v>
      </c>
      <c r="S629" s="129">
        <v>0</v>
      </c>
      <c r="T629" s="129">
        <v>3281</v>
      </c>
      <c r="U629" s="129">
        <v>0</v>
      </c>
      <c r="V629" s="130">
        <v>107333</v>
      </c>
      <c r="W629" s="128">
        <v>0</v>
      </c>
      <c r="X629" s="128">
        <v>2</v>
      </c>
      <c r="Y629" s="131" t="str">
        <f ca="1">IF(ISBLANK(BudgetsTable[[#This Row],[budg_seq_yr]]),"FY"&amp;fiscalyear,"FY"&amp;fiscalyear-1+BudgetsTable[[#This Row],[budg_seq_yr]])</f>
        <v>FY19</v>
      </c>
      <c r="Z629" s="129">
        <v>107333</v>
      </c>
      <c r="AA629" s="128" t="s">
        <v>741</v>
      </c>
      <c r="AB629" s="128" t="s">
        <v>526</v>
      </c>
      <c r="AC629" s="126" t="s">
        <v>94</v>
      </c>
      <c r="AD629" s="128" t="s">
        <v>2485</v>
      </c>
    </row>
    <row r="630" spans="1:30">
      <c r="A630" s="125" t="s">
        <v>723</v>
      </c>
      <c r="B630" s="126" t="s">
        <v>96</v>
      </c>
      <c r="C630" s="126">
        <f>C629+(BudgetsTable[[#This Row],[lead]]&lt;&gt;K629)</f>
        <v>127</v>
      </c>
      <c r="D630" s="126">
        <f>D629*(BudgetsTable[[#This Row],[lead]]=K629)+(BudgetsTable[[#This Row],[prop_id]]&lt;&gt;A629)</f>
        <v>1</v>
      </c>
      <c r="E630" s="127">
        <v>42956.697222222225</v>
      </c>
      <c r="F630" s="128" t="s">
        <v>808</v>
      </c>
      <c r="G630" s="128" t="s">
        <v>741</v>
      </c>
      <c r="H630" s="128" t="s">
        <v>526</v>
      </c>
      <c r="I630" s="126" t="s">
        <v>540</v>
      </c>
      <c r="J630" s="126" t="s">
        <v>831</v>
      </c>
      <c r="K630" s="128" t="s">
        <v>723</v>
      </c>
      <c r="L630" s="7" t="str">
        <f>IF(BudgetsTable[[#This Row],[pi_last_name]]=" ","",HYPERLINK("https://www.ejacket.nsf.gov/ej/showProposal.do?Continue=Y&amp;ID="&amp;BudgetsTable[[#This Row],[prop_id]],BudgetsTable[[#This Row],[prop_id]]))</f>
        <v>1755954</v>
      </c>
      <c r="M630" s="15" t="str">
        <f>IF(BudgetsTable[[#This Row],[pi_last_name]]=" ","",HYPERLINK("https://www.ejacket.nsf.gov/ej/processReviewAnalysis.do?dispatch=add&amp;uniqId="&amp;BudgetsTable[[#This Row],[prop_id]]&amp;PO_id,"&gt;ra"))</f>
        <v>&gt;ra</v>
      </c>
      <c r="N630" s="128" t="s">
        <v>724</v>
      </c>
      <c r="O630" s="7" t="str">
        <f>IF(BudgetsTable[[#This Row],[pi_last_name]]=" ","",HYPERLINK("mailto:"&amp;BudgetsTable[[#This Row],[pi_email]]&amp;"&amp;subject=Your NSF Proposal:  "&amp;BudgetsTable[[#This Row],[prop_id]],BudgetsTable[[#This Row],[pi_email]]))</f>
        <v>shima.hm@tamu.edu</v>
      </c>
      <c r="P630" s="128" t="s">
        <v>828</v>
      </c>
      <c r="Q630" s="128"/>
      <c r="R630" s="128"/>
      <c r="S630" s="129"/>
      <c r="T630" s="129"/>
      <c r="U630" s="129"/>
      <c r="V630" s="130"/>
      <c r="W630" s="128">
        <v>0</v>
      </c>
      <c r="X630" s="128"/>
      <c r="Y630" s="131" t="str">
        <f ca="1">IF(ISBLANK(BudgetsTable[[#This Row],[budg_seq_yr]]),"FY"&amp;fiscalyear,"FY"&amp;fiscalyear-1+BudgetsTable[[#This Row],[budg_seq_yr]])</f>
        <v>FY18</v>
      </c>
      <c r="Z630" s="129">
        <v>175000</v>
      </c>
      <c r="AA630" s="128" t="s">
        <v>741</v>
      </c>
      <c r="AB630" s="128" t="s">
        <v>526</v>
      </c>
      <c r="AC630" s="126" t="s">
        <v>94</v>
      </c>
      <c r="AD630" s="128" t="s">
        <v>816</v>
      </c>
    </row>
    <row r="631" spans="1:30">
      <c r="A631" s="125" t="s">
        <v>723</v>
      </c>
      <c r="B631" s="126" t="s">
        <v>96</v>
      </c>
      <c r="C631" s="126">
        <f>C630+(BudgetsTable[[#This Row],[lead]]&lt;&gt;K630)</f>
        <v>127</v>
      </c>
      <c r="D631" s="126">
        <f>D630*(BudgetsTable[[#This Row],[lead]]=K630)+(BudgetsTable[[#This Row],[prop_id]]&lt;&gt;A630)</f>
        <v>1</v>
      </c>
      <c r="E631" s="127">
        <v>42956.697222222225</v>
      </c>
      <c r="F631" s="128" t="s">
        <v>808</v>
      </c>
      <c r="G631" s="128" t="s">
        <v>741</v>
      </c>
      <c r="H631" s="128" t="s">
        <v>526</v>
      </c>
      <c r="I631" s="126" t="s">
        <v>540</v>
      </c>
      <c r="J631" s="126" t="s">
        <v>13</v>
      </c>
      <c r="K631" s="128" t="s">
        <v>723</v>
      </c>
      <c r="L631" s="7" t="str">
        <f>IF(BudgetsTable[[#This Row],[pi_last_name]]=" ","",HYPERLINK("https://www.ejacket.nsf.gov/ej/showProposal.do?Continue=Y&amp;ID="&amp;BudgetsTable[[#This Row],[prop_id]],BudgetsTable[[#This Row],[prop_id]]))</f>
        <v/>
      </c>
      <c r="M631" s="15" t="str">
        <f>IF(BudgetsTable[[#This Row],[pi_last_name]]=" ","",HYPERLINK("https://www.ejacket.nsf.gov/ej/processReviewAnalysis.do?dispatch=add&amp;uniqId="&amp;BudgetsTable[[#This Row],[prop_id]]&amp;PO_id,"&gt;ra"))</f>
        <v/>
      </c>
      <c r="N631" s="128" t="s">
        <v>13</v>
      </c>
      <c r="O631" s="7" t="str">
        <f>IF(BudgetsTable[[#This Row],[pi_last_name]]=" ","",HYPERLINK("mailto:"&amp;BudgetsTable[[#This Row],[pi_email]]&amp;"&amp;subject=Your NSF Proposal:  "&amp;BudgetsTable[[#This Row],[prop_id]],BudgetsTable[[#This Row],[pi_email]]))</f>
        <v/>
      </c>
      <c r="P631" s="128" t="s">
        <v>13</v>
      </c>
      <c r="Q631" s="128">
        <v>0</v>
      </c>
      <c r="R631" s="128">
        <v>0</v>
      </c>
      <c r="S631" s="129">
        <v>0</v>
      </c>
      <c r="T631" s="129">
        <v>0</v>
      </c>
      <c r="U631" s="129">
        <v>0</v>
      </c>
      <c r="V631" s="130">
        <v>86245</v>
      </c>
      <c r="W631" s="128">
        <v>0</v>
      </c>
      <c r="X631" s="128">
        <v>1</v>
      </c>
      <c r="Y631" s="131" t="str">
        <f ca="1">IF(ISBLANK(BudgetsTable[[#This Row],[budg_seq_yr]]),"FY"&amp;fiscalyear,"FY"&amp;fiscalyear-1+BudgetsTable[[#This Row],[budg_seq_yr]])</f>
        <v>FY18</v>
      </c>
      <c r="Z631" s="129">
        <v>86245</v>
      </c>
      <c r="AA631" s="128" t="s">
        <v>741</v>
      </c>
      <c r="AB631" s="128" t="s">
        <v>526</v>
      </c>
      <c r="AC631" s="126" t="s">
        <v>94</v>
      </c>
      <c r="AD631" s="128" t="s">
        <v>816</v>
      </c>
    </row>
    <row r="632" spans="1:30">
      <c r="A632" s="125" t="s">
        <v>723</v>
      </c>
      <c r="B632" s="126" t="s">
        <v>96</v>
      </c>
      <c r="C632" s="126">
        <f>C631+(BudgetsTable[[#This Row],[lead]]&lt;&gt;K631)</f>
        <v>127</v>
      </c>
      <c r="D632" s="126">
        <f>D631*(BudgetsTable[[#This Row],[lead]]=K631)+(BudgetsTable[[#This Row],[prop_id]]&lt;&gt;A631)</f>
        <v>1</v>
      </c>
      <c r="E632" s="127">
        <v>42956.697222222225</v>
      </c>
      <c r="F632" s="128" t="s">
        <v>808</v>
      </c>
      <c r="G632" s="128" t="s">
        <v>741</v>
      </c>
      <c r="H632" s="128" t="s">
        <v>526</v>
      </c>
      <c r="I632" s="126" t="s">
        <v>540</v>
      </c>
      <c r="J632" s="126" t="s">
        <v>13</v>
      </c>
      <c r="K632" s="128" t="s">
        <v>723</v>
      </c>
      <c r="L632" s="7" t="str">
        <f>IF(BudgetsTable[[#This Row],[pi_last_name]]=" ","",HYPERLINK("https://www.ejacket.nsf.gov/ej/showProposal.do?Continue=Y&amp;ID="&amp;BudgetsTable[[#This Row],[prop_id]],BudgetsTable[[#This Row],[prop_id]]))</f>
        <v/>
      </c>
      <c r="M632" s="15" t="str">
        <f>IF(BudgetsTable[[#This Row],[pi_last_name]]=" ","",HYPERLINK("https://www.ejacket.nsf.gov/ej/processReviewAnalysis.do?dispatch=add&amp;uniqId="&amp;BudgetsTable[[#This Row],[prop_id]]&amp;PO_id,"&gt;ra"))</f>
        <v/>
      </c>
      <c r="N632" s="128" t="s">
        <v>13</v>
      </c>
      <c r="O632" s="7" t="str">
        <f>IF(BudgetsTable[[#This Row],[pi_last_name]]=" ","",HYPERLINK("mailto:"&amp;BudgetsTable[[#This Row],[pi_email]]&amp;"&amp;subject=Your NSF Proposal:  "&amp;BudgetsTable[[#This Row],[prop_id]],BudgetsTable[[#This Row],[pi_email]]))</f>
        <v/>
      </c>
      <c r="P632" s="128" t="s">
        <v>13</v>
      </c>
      <c r="Q632" s="128">
        <v>0</v>
      </c>
      <c r="R632" s="128">
        <v>0</v>
      </c>
      <c r="S632" s="129">
        <v>0</v>
      </c>
      <c r="T632" s="129">
        <v>0</v>
      </c>
      <c r="U632" s="129">
        <v>0</v>
      </c>
      <c r="V632" s="130">
        <v>88755</v>
      </c>
      <c r="W632" s="128">
        <v>0</v>
      </c>
      <c r="X632" s="128">
        <v>2</v>
      </c>
      <c r="Y632" s="131" t="str">
        <f ca="1">IF(ISBLANK(BudgetsTable[[#This Row],[budg_seq_yr]]),"FY"&amp;fiscalyear,"FY"&amp;fiscalyear-1+BudgetsTable[[#This Row],[budg_seq_yr]])</f>
        <v>FY19</v>
      </c>
      <c r="Z632" s="129">
        <v>88755</v>
      </c>
      <c r="AA632" s="128" t="s">
        <v>741</v>
      </c>
      <c r="AB632" s="128" t="s">
        <v>526</v>
      </c>
      <c r="AC632" s="126" t="s">
        <v>94</v>
      </c>
      <c r="AD632" s="128" t="s">
        <v>816</v>
      </c>
    </row>
    <row r="633" spans="1:30">
      <c r="A633" s="125" t="s">
        <v>1953</v>
      </c>
      <c r="B633" s="126" t="s">
        <v>96</v>
      </c>
      <c r="C633" s="126">
        <f>C632+(BudgetsTable[[#This Row],[lead]]&lt;&gt;K632)</f>
        <v>128</v>
      </c>
      <c r="D633" s="126">
        <f>D632*(BudgetsTable[[#This Row],[lead]]=K632)+(BudgetsTable[[#This Row],[prop_id]]&lt;&gt;A632)</f>
        <v>1</v>
      </c>
      <c r="E633" s="127">
        <v>42956.697916666664</v>
      </c>
      <c r="F633" s="128" t="s">
        <v>808</v>
      </c>
      <c r="G633" s="128" t="s">
        <v>741</v>
      </c>
      <c r="H633" s="128" t="s">
        <v>526</v>
      </c>
      <c r="I633" s="126" t="s">
        <v>543</v>
      </c>
      <c r="J633" s="126" t="s">
        <v>2449</v>
      </c>
      <c r="K633" s="128" t="s">
        <v>1953</v>
      </c>
      <c r="L633" s="7" t="str">
        <f>IF(BudgetsTable[[#This Row],[pi_last_name]]=" ","",HYPERLINK("https://www.ejacket.nsf.gov/ej/showProposal.do?Continue=Y&amp;ID="&amp;BudgetsTable[[#This Row],[prop_id]],BudgetsTable[[#This Row],[prop_id]]))</f>
        <v>1755955</v>
      </c>
      <c r="M633" s="15" t="str">
        <f>IF(BudgetsTable[[#This Row],[pi_last_name]]=" ","",HYPERLINK("https://www.ejacket.nsf.gov/ej/processReviewAnalysis.do?dispatch=add&amp;uniqId="&amp;BudgetsTable[[#This Row],[prop_id]]&amp;PO_id,"&gt;ra"))</f>
        <v>&gt;ra</v>
      </c>
      <c r="N633" s="128" t="s">
        <v>1781</v>
      </c>
      <c r="O633" s="7" t="str">
        <f>IF(BudgetsTable[[#This Row],[pi_last_name]]=" ","",HYPERLINK("mailto:"&amp;BudgetsTable[[#This Row],[pi_email]]&amp;"&amp;subject=Your NSF Proposal:  "&amp;BudgetsTable[[#This Row],[prop_id]],BudgetsTable[[#This Row],[pi_email]]))</f>
        <v>gkatz@drexel.edu</v>
      </c>
      <c r="P633" s="128" t="s">
        <v>2447</v>
      </c>
      <c r="Q633" s="128"/>
      <c r="R633" s="128"/>
      <c r="S633" s="129"/>
      <c r="T633" s="129"/>
      <c r="U633" s="129"/>
      <c r="V633" s="130"/>
      <c r="W633" s="128">
        <v>0</v>
      </c>
      <c r="X633" s="128"/>
      <c r="Y633" s="131" t="str">
        <f ca="1">IF(ISBLANK(BudgetsTable[[#This Row],[budg_seq_yr]]),"FY"&amp;fiscalyear,"FY"&amp;fiscalyear-1+BudgetsTable[[#This Row],[budg_seq_yr]])</f>
        <v>FY18</v>
      </c>
      <c r="Z633" s="129">
        <v>174930</v>
      </c>
      <c r="AA633" s="128" t="s">
        <v>741</v>
      </c>
      <c r="AB633" s="128" t="s">
        <v>526</v>
      </c>
      <c r="AC633" s="126" t="s">
        <v>94</v>
      </c>
      <c r="AD633" s="128" t="s">
        <v>2485</v>
      </c>
    </row>
    <row r="634" spans="1:30">
      <c r="A634" s="125" t="s">
        <v>1953</v>
      </c>
      <c r="B634" s="126" t="s">
        <v>96</v>
      </c>
      <c r="C634" s="126">
        <f>C633+(BudgetsTable[[#This Row],[lead]]&lt;&gt;K633)</f>
        <v>128</v>
      </c>
      <c r="D634" s="126">
        <f>D633*(BudgetsTable[[#This Row],[lead]]=K633)+(BudgetsTable[[#This Row],[prop_id]]&lt;&gt;A633)</f>
        <v>1</v>
      </c>
      <c r="E634" s="127">
        <v>42956.697916666664</v>
      </c>
      <c r="F634" s="128" t="s">
        <v>808</v>
      </c>
      <c r="G634" s="128" t="s">
        <v>741</v>
      </c>
      <c r="H634" s="128" t="s">
        <v>526</v>
      </c>
      <c r="I634" s="126" t="s">
        <v>543</v>
      </c>
      <c r="J634" s="126" t="s">
        <v>13</v>
      </c>
      <c r="K634" s="128" t="s">
        <v>1953</v>
      </c>
      <c r="L634" s="7" t="str">
        <f>IF(BudgetsTable[[#This Row],[pi_last_name]]=" ","",HYPERLINK("https://www.ejacket.nsf.gov/ej/showProposal.do?Continue=Y&amp;ID="&amp;BudgetsTable[[#This Row],[prop_id]],BudgetsTable[[#This Row],[prop_id]]))</f>
        <v/>
      </c>
      <c r="M634" s="15" t="str">
        <f>IF(BudgetsTable[[#This Row],[pi_last_name]]=" ","",HYPERLINK("https://www.ejacket.nsf.gov/ej/processReviewAnalysis.do?dispatch=add&amp;uniqId="&amp;BudgetsTable[[#This Row],[prop_id]]&amp;PO_id,"&gt;ra"))</f>
        <v/>
      </c>
      <c r="N634" s="128" t="s">
        <v>13</v>
      </c>
      <c r="O634" s="7" t="str">
        <f>IF(BudgetsTable[[#This Row],[pi_last_name]]=" ","",HYPERLINK("mailto:"&amp;BudgetsTable[[#This Row],[pi_email]]&amp;"&amp;subject=Your NSF Proposal:  "&amp;BudgetsTable[[#This Row],[prop_id]],BudgetsTable[[#This Row],[pi_email]]))</f>
        <v/>
      </c>
      <c r="P634" s="128" t="s">
        <v>13</v>
      </c>
      <c r="Q634" s="128">
        <v>0</v>
      </c>
      <c r="R634" s="128">
        <v>0</v>
      </c>
      <c r="S634" s="129">
        <v>0</v>
      </c>
      <c r="T634" s="129">
        <v>4500</v>
      </c>
      <c r="U634" s="129">
        <v>0</v>
      </c>
      <c r="V634" s="130">
        <v>90272</v>
      </c>
      <c r="W634" s="128">
        <v>0</v>
      </c>
      <c r="X634" s="128">
        <v>1</v>
      </c>
      <c r="Y634" s="131" t="str">
        <f ca="1">IF(ISBLANK(BudgetsTable[[#This Row],[budg_seq_yr]]),"FY"&amp;fiscalyear,"FY"&amp;fiscalyear-1+BudgetsTable[[#This Row],[budg_seq_yr]])</f>
        <v>FY18</v>
      </c>
      <c r="Z634" s="129">
        <v>90272</v>
      </c>
      <c r="AA634" s="128" t="s">
        <v>741</v>
      </c>
      <c r="AB634" s="128" t="s">
        <v>526</v>
      </c>
      <c r="AC634" s="126" t="s">
        <v>94</v>
      </c>
      <c r="AD634" s="128" t="s">
        <v>2485</v>
      </c>
    </row>
    <row r="635" spans="1:30">
      <c r="A635" s="125" t="s">
        <v>1953</v>
      </c>
      <c r="B635" s="126" t="s">
        <v>96</v>
      </c>
      <c r="C635" s="126">
        <f>C634+(BudgetsTable[[#This Row],[lead]]&lt;&gt;K634)</f>
        <v>128</v>
      </c>
      <c r="D635" s="126">
        <f>D634*(BudgetsTable[[#This Row],[lead]]=K634)+(BudgetsTable[[#This Row],[prop_id]]&lt;&gt;A634)</f>
        <v>1</v>
      </c>
      <c r="E635" s="127">
        <v>42956.697916666664</v>
      </c>
      <c r="F635" s="128" t="s">
        <v>808</v>
      </c>
      <c r="G635" s="128" t="s">
        <v>741</v>
      </c>
      <c r="H635" s="128" t="s">
        <v>526</v>
      </c>
      <c r="I635" s="126" t="s">
        <v>543</v>
      </c>
      <c r="J635" s="126" t="s">
        <v>13</v>
      </c>
      <c r="K635" s="128" t="s">
        <v>1953</v>
      </c>
      <c r="L635" s="7" t="str">
        <f>IF(BudgetsTable[[#This Row],[pi_last_name]]=" ","",HYPERLINK("https://www.ejacket.nsf.gov/ej/showProposal.do?Continue=Y&amp;ID="&amp;BudgetsTable[[#This Row],[prop_id]],BudgetsTable[[#This Row],[prop_id]]))</f>
        <v/>
      </c>
      <c r="M635" s="15" t="str">
        <f>IF(BudgetsTable[[#This Row],[pi_last_name]]=" ","",HYPERLINK("https://www.ejacket.nsf.gov/ej/processReviewAnalysis.do?dispatch=add&amp;uniqId="&amp;BudgetsTable[[#This Row],[prop_id]]&amp;PO_id,"&gt;ra"))</f>
        <v/>
      </c>
      <c r="N635" s="128" t="s">
        <v>13</v>
      </c>
      <c r="O635" s="7" t="str">
        <f>IF(BudgetsTable[[#This Row],[pi_last_name]]=" ","",HYPERLINK("mailto:"&amp;BudgetsTable[[#This Row],[pi_email]]&amp;"&amp;subject=Your NSF Proposal:  "&amp;BudgetsTable[[#This Row],[prop_id]],BudgetsTable[[#This Row],[pi_email]]))</f>
        <v/>
      </c>
      <c r="P635" s="128" t="s">
        <v>13</v>
      </c>
      <c r="Q635" s="128">
        <v>0</v>
      </c>
      <c r="R635" s="128">
        <v>0</v>
      </c>
      <c r="S635" s="129">
        <v>0</v>
      </c>
      <c r="T635" s="129">
        <v>4500</v>
      </c>
      <c r="U635" s="129">
        <v>0</v>
      </c>
      <c r="V635" s="130">
        <v>84658</v>
      </c>
      <c r="W635" s="128">
        <v>0</v>
      </c>
      <c r="X635" s="128">
        <v>2</v>
      </c>
      <c r="Y635" s="131" t="str">
        <f ca="1">IF(ISBLANK(BudgetsTable[[#This Row],[budg_seq_yr]]),"FY"&amp;fiscalyear,"FY"&amp;fiscalyear-1+BudgetsTable[[#This Row],[budg_seq_yr]])</f>
        <v>FY19</v>
      </c>
      <c r="Z635" s="129">
        <v>84658</v>
      </c>
      <c r="AA635" s="128" t="s">
        <v>741</v>
      </c>
      <c r="AB635" s="128" t="s">
        <v>526</v>
      </c>
      <c r="AC635" s="126" t="s">
        <v>94</v>
      </c>
      <c r="AD635" s="128" t="s">
        <v>2485</v>
      </c>
    </row>
    <row r="636" spans="1:30">
      <c r="A636" s="125" t="s">
        <v>734</v>
      </c>
      <c r="B636" s="126" t="s">
        <v>96</v>
      </c>
      <c r="C636" s="126">
        <f>C635+(BudgetsTable[[#This Row],[lead]]&lt;&gt;K635)</f>
        <v>129</v>
      </c>
      <c r="D636" s="126">
        <f>D635*(BudgetsTable[[#This Row],[lead]]=K635)+(BudgetsTable[[#This Row],[prop_id]]&lt;&gt;A635)</f>
        <v>1</v>
      </c>
      <c r="E636" s="127">
        <v>42956.717361111114</v>
      </c>
      <c r="F636" s="128" t="s">
        <v>808</v>
      </c>
      <c r="G636" s="128" t="s">
        <v>741</v>
      </c>
      <c r="H636" s="128" t="s">
        <v>526</v>
      </c>
      <c r="I636" s="126" t="s">
        <v>540</v>
      </c>
      <c r="J636" s="126" t="s">
        <v>836</v>
      </c>
      <c r="K636" s="128" t="s">
        <v>734</v>
      </c>
      <c r="L636" s="7" t="str">
        <f>IF(BudgetsTable[[#This Row],[pi_last_name]]=" ","",HYPERLINK("https://www.ejacket.nsf.gov/ej/showProposal.do?Continue=Y&amp;ID="&amp;BudgetsTable[[#This Row],[prop_id]],BudgetsTable[[#This Row],[prop_id]]))</f>
        <v>1755978</v>
      </c>
      <c r="M636" s="15" t="str">
        <f>IF(BudgetsTable[[#This Row],[pi_last_name]]=" ","",HYPERLINK("https://www.ejacket.nsf.gov/ej/processReviewAnalysis.do?dispatch=add&amp;uniqId="&amp;BudgetsTable[[#This Row],[prop_id]]&amp;PO_id,"&gt;ra"))</f>
        <v>&gt;ra</v>
      </c>
      <c r="N636" s="128" t="s">
        <v>735</v>
      </c>
      <c r="O636" s="7" t="str">
        <f>IF(BudgetsTable[[#This Row],[pi_last_name]]=" ","",HYPERLINK("mailto:"&amp;BudgetsTable[[#This Row],[pi_email]]&amp;"&amp;subject=Your NSF Proposal:  "&amp;BudgetsTable[[#This Row],[prop_id]],BudgetsTable[[#This Row],[pi_email]]))</f>
        <v>harsha@smu.edu</v>
      </c>
      <c r="P636" s="128" t="s">
        <v>833</v>
      </c>
      <c r="Q636" s="128"/>
      <c r="R636" s="128"/>
      <c r="S636" s="129"/>
      <c r="T636" s="129"/>
      <c r="U636" s="129"/>
      <c r="V636" s="130"/>
      <c r="W636" s="128">
        <v>0</v>
      </c>
      <c r="X636" s="128"/>
      <c r="Y636" s="131" t="str">
        <f ca="1">IF(ISBLANK(BudgetsTable[[#This Row],[budg_seq_yr]]),"FY"&amp;fiscalyear,"FY"&amp;fiscalyear-1+BudgetsTable[[#This Row],[budg_seq_yr]])</f>
        <v>FY18</v>
      </c>
      <c r="Z636" s="129">
        <v>175000</v>
      </c>
      <c r="AA636" s="128" t="s">
        <v>741</v>
      </c>
      <c r="AB636" s="128" t="s">
        <v>526</v>
      </c>
      <c r="AC636" s="126" t="s">
        <v>94</v>
      </c>
      <c r="AD636" s="128" t="s">
        <v>538</v>
      </c>
    </row>
    <row r="637" spans="1:30">
      <c r="A637" s="125" t="s">
        <v>734</v>
      </c>
      <c r="B637" s="126" t="s">
        <v>96</v>
      </c>
      <c r="C637" s="126">
        <f>C636+(BudgetsTable[[#This Row],[lead]]&lt;&gt;K636)</f>
        <v>129</v>
      </c>
      <c r="D637" s="126">
        <f>D636*(BudgetsTable[[#This Row],[lead]]=K636)+(BudgetsTable[[#This Row],[prop_id]]&lt;&gt;A636)</f>
        <v>1</v>
      </c>
      <c r="E637" s="127">
        <v>42956.717361111114</v>
      </c>
      <c r="F637" s="128" t="s">
        <v>808</v>
      </c>
      <c r="G637" s="128" t="s">
        <v>741</v>
      </c>
      <c r="H637" s="128" t="s">
        <v>526</v>
      </c>
      <c r="I637" s="126" t="s">
        <v>540</v>
      </c>
      <c r="J637" s="126" t="s">
        <v>13</v>
      </c>
      <c r="K637" s="128" t="s">
        <v>734</v>
      </c>
      <c r="L637" s="7" t="str">
        <f>IF(BudgetsTable[[#This Row],[pi_last_name]]=" ","",HYPERLINK("https://www.ejacket.nsf.gov/ej/showProposal.do?Continue=Y&amp;ID="&amp;BudgetsTable[[#This Row],[prop_id]],BudgetsTable[[#This Row],[prop_id]]))</f>
        <v/>
      </c>
      <c r="M637" s="15" t="str">
        <f>IF(BudgetsTable[[#This Row],[pi_last_name]]=" ","",HYPERLINK("https://www.ejacket.nsf.gov/ej/processReviewAnalysis.do?dispatch=add&amp;uniqId="&amp;BudgetsTable[[#This Row],[prop_id]]&amp;PO_id,"&gt;ra"))</f>
        <v/>
      </c>
      <c r="N637" s="128" t="s">
        <v>13</v>
      </c>
      <c r="O637" s="7" t="str">
        <f>IF(BudgetsTable[[#This Row],[pi_last_name]]=" ","",HYPERLINK("mailto:"&amp;BudgetsTable[[#This Row],[pi_email]]&amp;"&amp;subject=Your NSF Proposal:  "&amp;BudgetsTable[[#This Row],[prop_id]],BudgetsTable[[#This Row],[pi_email]]))</f>
        <v/>
      </c>
      <c r="P637" s="128" t="s">
        <v>13</v>
      </c>
      <c r="Q637" s="128">
        <v>0</v>
      </c>
      <c r="R637" s="128">
        <v>0</v>
      </c>
      <c r="S637" s="129">
        <v>0</v>
      </c>
      <c r="T637" s="129">
        <v>0</v>
      </c>
      <c r="U637" s="129">
        <v>0</v>
      </c>
      <c r="V637" s="130">
        <v>85200</v>
      </c>
      <c r="W637" s="128">
        <v>0</v>
      </c>
      <c r="X637" s="128">
        <v>1</v>
      </c>
      <c r="Y637" s="131" t="str">
        <f ca="1">IF(ISBLANK(BudgetsTable[[#This Row],[budg_seq_yr]]),"FY"&amp;fiscalyear,"FY"&amp;fiscalyear-1+BudgetsTable[[#This Row],[budg_seq_yr]])</f>
        <v>FY18</v>
      </c>
      <c r="Z637" s="129">
        <v>85200</v>
      </c>
      <c r="AA637" s="128" t="s">
        <v>741</v>
      </c>
      <c r="AB637" s="128" t="s">
        <v>526</v>
      </c>
      <c r="AC637" s="126" t="s">
        <v>94</v>
      </c>
      <c r="AD637" s="128" t="s">
        <v>538</v>
      </c>
    </row>
    <row r="638" spans="1:30">
      <c r="A638" s="125" t="s">
        <v>734</v>
      </c>
      <c r="B638" s="126" t="s">
        <v>96</v>
      </c>
      <c r="C638" s="126">
        <f>C637+(BudgetsTable[[#This Row],[lead]]&lt;&gt;K637)</f>
        <v>129</v>
      </c>
      <c r="D638" s="126">
        <f>D637*(BudgetsTable[[#This Row],[lead]]=K637)+(BudgetsTable[[#This Row],[prop_id]]&lt;&gt;A637)</f>
        <v>1</v>
      </c>
      <c r="E638" s="127">
        <v>42956.717361111114</v>
      </c>
      <c r="F638" s="128" t="s">
        <v>808</v>
      </c>
      <c r="G638" s="128" t="s">
        <v>741</v>
      </c>
      <c r="H638" s="128" t="s">
        <v>526</v>
      </c>
      <c r="I638" s="126" t="s">
        <v>540</v>
      </c>
      <c r="J638" s="126" t="s">
        <v>13</v>
      </c>
      <c r="K638" s="128" t="s">
        <v>734</v>
      </c>
      <c r="L638" s="7" t="str">
        <f>IF(BudgetsTable[[#This Row],[pi_last_name]]=" ","",HYPERLINK("https://www.ejacket.nsf.gov/ej/showProposal.do?Continue=Y&amp;ID="&amp;BudgetsTable[[#This Row],[prop_id]],BudgetsTable[[#This Row],[prop_id]]))</f>
        <v/>
      </c>
      <c r="M638" s="15" t="str">
        <f>IF(BudgetsTable[[#This Row],[pi_last_name]]=" ","",HYPERLINK("https://www.ejacket.nsf.gov/ej/processReviewAnalysis.do?dispatch=add&amp;uniqId="&amp;BudgetsTable[[#This Row],[prop_id]]&amp;PO_id,"&gt;ra"))</f>
        <v/>
      </c>
      <c r="N638" s="128" t="s">
        <v>13</v>
      </c>
      <c r="O638" s="7" t="str">
        <f>IF(BudgetsTable[[#This Row],[pi_last_name]]=" ","",HYPERLINK("mailto:"&amp;BudgetsTable[[#This Row],[pi_email]]&amp;"&amp;subject=Your NSF Proposal:  "&amp;BudgetsTable[[#This Row],[prop_id]],BudgetsTable[[#This Row],[pi_email]]))</f>
        <v/>
      </c>
      <c r="P638" s="128" t="s">
        <v>13</v>
      </c>
      <c r="Q638" s="128">
        <v>0</v>
      </c>
      <c r="R638" s="128">
        <v>0</v>
      </c>
      <c r="S638" s="129">
        <v>0</v>
      </c>
      <c r="T638" s="129">
        <v>0</v>
      </c>
      <c r="U638" s="129">
        <v>0</v>
      </c>
      <c r="V638" s="130">
        <v>89800</v>
      </c>
      <c r="W638" s="128">
        <v>0</v>
      </c>
      <c r="X638" s="128">
        <v>2</v>
      </c>
      <c r="Y638" s="131" t="str">
        <f ca="1">IF(ISBLANK(BudgetsTable[[#This Row],[budg_seq_yr]]),"FY"&amp;fiscalyear,"FY"&amp;fiscalyear-1+BudgetsTable[[#This Row],[budg_seq_yr]])</f>
        <v>FY19</v>
      </c>
      <c r="Z638" s="129">
        <v>89800</v>
      </c>
      <c r="AA638" s="128" t="s">
        <v>741</v>
      </c>
      <c r="AB638" s="128" t="s">
        <v>526</v>
      </c>
      <c r="AC638" s="126" t="s">
        <v>94</v>
      </c>
      <c r="AD638" s="128" t="s">
        <v>538</v>
      </c>
    </row>
    <row r="639" spans="1:30">
      <c r="A639" s="125" t="s">
        <v>1960</v>
      </c>
      <c r="B639" s="126" t="s">
        <v>96</v>
      </c>
      <c r="C639" s="126">
        <f>C638+(BudgetsTable[[#This Row],[lead]]&lt;&gt;K638)</f>
        <v>130</v>
      </c>
      <c r="D639" s="126">
        <f>D638*(BudgetsTable[[#This Row],[lead]]=K638)+(BudgetsTable[[#This Row],[prop_id]]&lt;&gt;A638)</f>
        <v>1</v>
      </c>
      <c r="E639" s="127">
        <v>42956.746527777781</v>
      </c>
      <c r="F639" s="128" t="s">
        <v>808</v>
      </c>
      <c r="G639" s="128" t="s">
        <v>741</v>
      </c>
      <c r="H639" s="128" t="s">
        <v>526</v>
      </c>
      <c r="I639" s="126" t="s">
        <v>1530</v>
      </c>
      <c r="J639" s="126" t="s">
        <v>2516</v>
      </c>
      <c r="K639" s="128" t="s">
        <v>1960</v>
      </c>
      <c r="L639" s="7" t="str">
        <f>IF(BudgetsTable[[#This Row],[pi_last_name]]=" ","",HYPERLINK("https://www.ejacket.nsf.gov/ej/showProposal.do?Continue=Y&amp;ID="&amp;BudgetsTable[[#This Row],[prop_id]],BudgetsTable[[#This Row],[prop_id]]))</f>
        <v>1756014</v>
      </c>
      <c r="M639" s="15" t="str">
        <f>IF(BudgetsTable[[#This Row],[pi_last_name]]=" ","",HYPERLINK("https://www.ejacket.nsf.gov/ej/processReviewAnalysis.do?dispatch=add&amp;uniqId="&amp;BudgetsTable[[#This Row],[prop_id]]&amp;PO_id,"&gt;ra"))</f>
        <v>&gt;ra</v>
      </c>
      <c r="N639" s="128" t="s">
        <v>627</v>
      </c>
      <c r="O639" s="7" t="str">
        <f>IF(BudgetsTable[[#This Row],[pi_last_name]]=" ","",HYPERLINK("mailto:"&amp;BudgetsTable[[#This Row],[pi_email]]&amp;"&amp;subject=Your NSF Proposal:  "&amp;BudgetsTable[[#This Row],[prop_id]],BudgetsTable[[#This Row],[pi_email]]))</f>
        <v>lchen49@central.uh.edu</v>
      </c>
      <c r="P639" s="128" t="s">
        <v>2514</v>
      </c>
      <c r="Q639" s="128"/>
      <c r="R639" s="128"/>
      <c r="S639" s="129"/>
      <c r="T639" s="129"/>
      <c r="U639" s="129"/>
      <c r="V639" s="130"/>
      <c r="W639" s="128">
        <v>0</v>
      </c>
      <c r="X639" s="128"/>
      <c r="Y639" s="131" t="str">
        <f ca="1">IF(ISBLANK(BudgetsTable[[#This Row],[budg_seq_yr]]),"FY"&amp;fiscalyear,"FY"&amp;fiscalyear-1+BudgetsTable[[#This Row],[budg_seq_yr]])</f>
        <v>FY18</v>
      </c>
      <c r="Z639" s="129">
        <v>148477</v>
      </c>
      <c r="AA639" s="128" t="s">
        <v>741</v>
      </c>
      <c r="AB639" s="128" t="s">
        <v>526</v>
      </c>
      <c r="AC639" s="126" t="s">
        <v>94</v>
      </c>
      <c r="AD639" s="128" t="s">
        <v>810</v>
      </c>
    </row>
    <row r="640" spans="1:30">
      <c r="A640" s="125" t="s">
        <v>1960</v>
      </c>
      <c r="B640" s="126" t="s">
        <v>96</v>
      </c>
      <c r="C640" s="126">
        <f>C639+(BudgetsTable[[#This Row],[lead]]&lt;&gt;K639)</f>
        <v>130</v>
      </c>
      <c r="D640" s="126">
        <f>D639*(BudgetsTable[[#This Row],[lead]]=K639)+(BudgetsTable[[#This Row],[prop_id]]&lt;&gt;A639)</f>
        <v>1</v>
      </c>
      <c r="E640" s="127">
        <v>42956.746527777781</v>
      </c>
      <c r="F640" s="128" t="s">
        <v>808</v>
      </c>
      <c r="G640" s="128" t="s">
        <v>741</v>
      </c>
      <c r="H640" s="128" t="s">
        <v>526</v>
      </c>
      <c r="I640" s="126" t="s">
        <v>1530</v>
      </c>
      <c r="J640" s="126" t="s">
        <v>13</v>
      </c>
      <c r="K640" s="128" t="s">
        <v>1960</v>
      </c>
      <c r="L640" s="7" t="str">
        <f>IF(BudgetsTable[[#This Row],[pi_last_name]]=" ","",HYPERLINK("https://www.ejacket.nsf.gov/ej/showProposal.do?Continue=Y&amp;ID="&amp;BudgetsTable[[#This Row],[prop_id]],BudgetsTable[[#This Row],[prop_id]]))</f>
        <v/>
      </c>
      <c r="M640" s="15" t="str">
        <f>IF(BudgetsTable[[#This Row],[pi_last_name]]=" ","",HYPERLINK("https://www.ejacket.nsf.gov/ej/processReviewAnalysis.do?dispatch=add&amp;uniqId="&amp;BudgetsTable[[#This Row],[prop_id]]&amp;PO_id,"&gt;ra"))</f>
        <v/>
      </c>
      <c r="N640" s="128" t="s">
        <v>13</v>
      </c>
      <c r="O640" s="7" t="str">
        <f>IF(BudgetsTable[[#This Row],[pi_last_name]]=" ","",HYPERLINK("mailto:"&amp;BudgetsTable[[#This Row],[pi_email]]&amp;"&amp;subject=Your NSF Proposal:  "&amp;BudgetsTable[[#This Row],[prop_id]],BudgetsTable[[#This Row],[pi_email]]))</f>
        <v/>
      </c>
      <c r="P640" s="128" t="s">
        <v>13</v>
      </c>
      <c r="Q640" s="128">
        <v>0</v>
      </c>
      <c r="R640" s="128">
        <v>0</v>
      </c>
      <c r="S640" s="129">
        <v>0</v>
      </c>
      <c r="T640" s="129">
        <v>3500</v>
      </c>
      <c r="U640" s="129">
        <v>0</v>
      </c>
      <c r="V640" s="130">
        <v>53317</v>
      </c>
      <c r="W640" s="128">
        <v>0</v>
      </c>
      <c r="X640" s="128">
        <v>1</v>
      </c>
      <c r="Y640" s="131" t="str">
        <f ca="1">IF(ISBLANK(BudgetsTable[[#This Row],[budg_seq_yr]]),"FY"&amp;fiscalyear,"FY"&amp;fiscalyear-1+BudgetsTable[[#This Row],[budg_seq_yr]])</f>
        <v>FY18</v>
      </c>
      <c r="Z640" s="129">
        <v>53317</v>
      </c>
      <c r="AA640" s="128" t="s">
        <v>741</v>
      </c>
      <c r="AB640" s="128" t="s">
        <v>526</v>
      </c>
      <c r="AC640" s="126" t="s">
        <v>94</v>
      </c>
      <c r="AD640" s="128" t="s">
        <v>810</v>
      </c>
    </row>
    <row r="641" spans="1:30">
      <c r="A641" s="125" t="s">
        <v>1960</v>
      </c>
      <c r="B641" s="126" t="s">
        <v>96</v>
      </c>
      <c r="C641" s="126">
        <f>C640+(BudgetsTable[[#This Row],[lead]]&lt;&gt;K640)</f>
        <v>130</v>
      </c>
      <c r="D641" s="126">
        <f>D640*(BudgetsTable[[#This Row],[lead]]=K640)+(BudgetsTable[[#This Row],[prop_id]]&lt;&gt;A640)</f>
        <v>1</v>
      </c>
      <c r="E641" s="127">
        <v>42956.746527777781</v>
      </c>
      <c r="F641" s="128" t="s">
        <v>808</v>
      </c>
      <c r="G641" s="128" t="s">
        <v>741</v>
      </c>
      <c r="H641" s="128" t="s">
        <v>526</v>
      </c>
      <c r="I641" s="126" t="s">
        <v>1530</v>
      </c>
      <c r="J641" s="126" t="s">
        <v>13</v>
      </c>
      <c r="K641" s="128" t="s">
        <v>1960</v>
      </c>
      <c r="L641" s="7" t="str">
        <f>IF(BudgetsTable[[#This Row],[pi_last_name]]=" ","",HYPERLINK("https://www.ejacket.nsf.gov/ej/showProposal.do?Continue=Y&amp;ID="&amp;BudgetsTable[[#This Row],[prop_id]],BudgetsTable[[#This Row],[prop_id]]))</f>
        <v/>
      </c>
      <c r="M641" s="15" t="str">
        <f>IF(BudgetsTable[[#This Row],[pi_last_name]]=" ","",HYPERLINK("https://www.ejacket.nsf.gov/ej/processReviewAnalysis.do?dispatch=add&amp;uniqId="&amp;BudgetsTable[[#This Row],[prop_id]]&amp;PO_id,"&gt;ra"))</f>
        <v/>
      </c>
      <c r="N641" s="128" t="s">
        <v>13</v>
      </c>
      <c r="O641" s="7" t="str">
        <f>IF(BudgetsTable[[#This Row],[pi_last_name]]=" ","",HYPERLINK("mailto:"&amp;BudgetsTable[[#This Row],[pi_email]]&amp;"&amp;subject=Your NSF Proposal:  "&amp;BudgetsTable[[#This Row],[prop_id]],BudgetsTable[[#This Row],[pi_email]]))</f>
        <v/>
      </c>
      <c r="P641" s="128" t="s">
        <v>13</v>
      </c>
      <c r="Q641" s="128">
        <v>0</v>
      </c>
      <c r="R641" s="128">
        <v>0</v>
      </c>
      <c r="S641" s="129">
        <v>0</v>
      </c>
      <c r="T641" s="129">
        <v>3500</v>
      </c>
      <c r="U641" s="129">
        <v>0</v>
      </c>
      <c r="V641" s="130">
        <v>95160</v>
      </c>
      <c r="W641" s="128">
        <v>0</v>
      </c>
      <c r="X641" s="128">
        <v>2</v>
      </c>
      <c r="Y641" s="131" t="str">
        <f ca="1">IF(ISBLANK(BudgetsTable[[#This Row],[budg_seq_yr]]),"FY"&amp;fiscalyear,"FY"&amp;fiscalyear-1+BudgetsTable[[#This Row],[budg_seq_yr]])</f>
        <v>FY19</v>
      </c>
      <c r="Z641" s="129">
        <v>95160</v>
      </c>
      <c r="AA641" s="128" t="s">
        <v>741</v>
      </c>
      <c r="AB641" s="128" t="s">
        <v>526</v>
      </c>
      <c r="AC641" s="126" t="s">
        <v>94</v>
      </c>
      <c r="AD641" s="128" t="s">
        <v>810</v>
      </c>
    </row>
  </sheetData>
  <conditionalFormatting sqref="A4:AD641">
    <cfRule type="expression" dxfId="75" priority="1684">
      <formula>MOD($C4,2)</formula>
    </cfRule>
  </conditionalFormatting>
  <conditionalFormatting sqref="L4:AD641">
    <cfRule type="expression" dxfId="74" priority="1579">
      <formula>MOD($D4+1,2)</formula>
    </cfRule>
    <cfRule type="expression" dxfId="73"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4" sqref="E4"/>
    </sheetView>
  </sheetViews>
  <sheetFormatPr defaultRowHeight="14.6"/>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c r="A1" s="63" t="s">
        <v>310</v>
      </c>
      <c r="D1" s="63" t="s">
        <v>506</v>
      </c>
      <c r="V1" s="40" t="s">
        <v>239</v>
      </c>
      <c r="AH1" s="40" t="s">
        <v>233</v>
      </c>
      <c r="AI1" s="40"/>
      <c r="AJ1" s="40"/>
      <c r="AK1" s="40"/>
      <c r="AL1" s="40"/>
      <c r="AM1" s="40"/>
      <c r="AN1" s="41" t="s">
        <v>234</v>
      </c>
      <c r="AO1" s="40"/>
      <c r="AP1" s="40"/>
      <c r="AQ1" s="40"/>
      <c r="AR1" s="42" t="s">
        <v>232</v>
      </c>
      <c r="AS1" s="40"/>
      <c r="AT1" s="40"/>
      <c r="AU1" s="40"/>
      <c r="AV1" s="40"/>
      <c r="AW1" s="40"/>
      <c r="AX1" s="40" t="s">
        <v>235</v>
      </c>
    </row>
    <row r="2" spans="1:50">
      <c r="A2" s="25" t="s">
        <v>312</v>
      </c>
      <c r="B2" t="s">
        <v>313</v>
      </c>
      <c r="D2" s="6" t="s">
        <v>408</v>
      </c>
      <c r="E2" s="6" t="s">
        <v>507</v>
      </c>
      <c r="H2"/>
      <c r="I2"/>
      <c r="J2"/>
      <c r="K2"/>
      <c r="L2"/>
      <c r="S2"/>
      <c r="T2"/>
      <c r="U2"/>
      <c r="Y2"/>
      <c r="AA2"/>
      <c r="AB2"/>
      <c r="AN2"/>
      <c r="AR2"/>
    </row>
    <row r="3" spans="1:50">
      <c r="A3" s="105" t="s">
        <v>905</v>
      </c>
      <c r="B3" t="s">
        <v>906</v>
      </c>
      <c r="D3" s="105" t="s">
        <v>526</v>
      </c>
      <c r="E3" t="s">
        <v>527</v>
      </c>
      <c r="H3"/>
      <c r="I3"/>
      <c r="J3"/>
      <c r="K3"/>
      <c r="L3"/>
      <c r="S3"/>
      <c r="T3"/>
      <c r="U3"/>
      <c r="Y3"/>
      <c r="AA3"/>
      <c r="AB3"/>
      <c r="AN3"/>
      <c r="AR3"/>
    </row>
    <row r="4" spans="1:50">
      <c r="A4" s="105" t="s">
        <v>907</v>
      </c>
      <c r="B4" t="s">
        <v>908</v>
      </c>
      <c r="D4" s="105" t="s">
        <v>901</v>
      </c>
      <c r="E4" t="s">
        <v>902</v>
      </c>
      <c r="H4"/>
      <c r="I4"/>
      <c r="J4"/>
      <c r="K4"/>
      <c r="L4"/>
      <c r="S4"/>
      <c r="T4"/>
      <c r="U4"/>
      <c r="Y4"/>
      <c r="AA4"/>
      <c r="AB4"/>
      <c r="AN4"/>
      <c r="AR4"/>
    </row>
    <row r="5" spans="1:50">
      <c r="A5" s="105" t="s">
        <v>909</v>
      </c>
      <c r="B5" t="s">
        <v>910</v>
      </c>
      <c r="D5" s="121" t="s">
        <v>903</v>
      </c>
      <c r="E5" s="6" t="s">
        <v>904</v>
      </c>
      <c r="H5"/>
      <c r="I5"/>
      <c r="J5"/>
      <c r="K5"/>
      <c r="L5"/>
      <c r="S5"/>
      <c r="T5"/>
      <c r="U5"/>
      <c r="Y5"/>
      <c r="AA5"/>
      <c r="AB5"/>
      <c r="AN5"/>
      <c r="AR5"/>
    </row>
    <row r="6" spans="1:50">
      <c r="A6" s="105" t="s">
        <v>250</v>
      </c>
      <c r="B6" t="s">
        <v>314</v>
      </c>
      <c r="D6" s="121" t="s">
        <v>528</v>
      </c>
      <c r="E6" s="6" t="s">
        <v>529</v>
      </c>
      <c r="H6"/>
      <c r="I6"/>
      <c r="J6"/>
      <c r="K6"/>
      <c r="L6"/>
      <c r="S6"/>
      <c r="T6"/>
      <c r="U6"/>
      <c r="Y6"/>
      <c r="AA6"/>
      <c r="AB6"/>
      <c r="AN6"/>
      <c r="AR6"/>
    </row>
    <row r="7" spans="1:50">
      <c r="A7" s="105" t="s">
        <v>903</v>
      </c>
      <c r="B7" t="s">
        <v>904</v>
      </c>
      <c r="H7"/>
      <c r="I7"/>
      <c r="J7"/>
      <c r="K7"/>
      <c r="L7"/>
      <c r="S7"/>
      <c r="T7"/>
      <c r="U7"/>
      <c r="Y7"/>
      <c r="AA7"/>
      <c r="AB7"/>
      <c r="AN7"/>
      <c r="AR7"/>
    </row>
    <row r="8" spans="1:50">
      <c r="A8" s="105" t="s">
        <v>530</v>
      </c>
      <c r="B8" t="s">
        <v>531</v>
      </c>
      <c r="H8"/>
      <c r="I8"/>
      <c r="J8"/>
      <c r="K8"/>
      <c r="L8"/>
      <c r="S8"/>
      <c r="T8"/>
      <c r="U8"/>
      <c r="Y8"/>
      <c r="AA8"/>
      <c r="AB8"/>
      <c r="AN8"/>
      <c r="AR8"/>
    </row>
    <row r="9" spans="1:50">
      <c r="A9" s="105" t="s">
        <v>911</v>
      </c>
      <c r="B9" t="s">
        <v>912</v>
      </c>
      <c r="H9"/>
      <c r="I9"/>
      <c r="J9"/>
      <c r="K9"/>
      <c r="L9"/>
      <c r="S9"/>
      <c r="T9"/>
      <c r="U9"/>
      <c r="Y9"/>
      <c r="AA9"/>
      <c r="AB9"/>
      <c r="AN9"/>
      <c r="AR9"/>
    </row>
    <row r="10" spans="1:50">
      <c r="A10" s="105" t="s">
        <v>532</v>
      </c>
      <c r="B10" t="s">
        <v>533</v>
      </c>
      <c r="K10"/>
      <c r="L10"/>
      <c r="S10"/>
      <c r="T10"/>
      <c r="U10"/>
      <c r="Y10"/>
      <c r="AA10"/>
      <c r="AB10"/>
      <c r="AN10"/>
      <c r="AR10"/>
    </row>
    <row r="11" spans="1:50">
      <c r="A11" s="105" t="s">
        <v>913</v>
      </c>
      <c r="B11" t="s">
        <v>914</v>
      </c>
      <c r="K11"/>
      <c r="L11"/>
      <c r="S11"/>
      <c r="T11"/>
      <c r="U11"/>
      <c r="Y11"/>
      <c r="AA11"/>
      <c r="AB11"/>
      <c r="AN11"/>
      <c r="AR11"/>
    </row>
    <row r="12" spans="1:50">
      <c r="A12" s="105" t="s">
        <v>534</v>
      </c>
      <c r="B12" t="s">
        <v>535</v>
      </c>
      <c r="K12"/>
      <c r="L12"/>
      <c r="S12"/>
      <c r="T12"/>
      <c r="U12"/>
      <c r="Y12"/>
      <c r="AA12"/>
      <c r="AB12"/>
      <c r="AN12"/>
      <c r="AR12"/>
    </row>
    <row r="13" spans="1:50">
      <c r="A13" s="105" t="s">
        <v>536</v>
      </c>
      <c r="B13" t="s">
        <v>537</v>
      </c>
      <c r="K13"/>
      <c r="L13"/>
      <c r="S13"/>
      <c r="T13"/>
      <c r="U13"/>
      <c r="Y13"/>
      <c r="AA13"/>
      <c r="AB13"/>
      <c r="AN13"/>
      <c r="AR13"/>
    </row>
    <row r="14" spans="1:50">
      <c r="A14" s="105" t="s">
        <v>538</v>
      </c>
      <c r="B14" t="s">
        <v>539</v>
      </c>
      <c r="K14"/>
      <c r="L14"/>
      <c r="S14"/>
      <c r="T14"/>
      <c r="U14"/>
      <c r="Y14"/>
      <c r="AA14"/>
      <c r="AB14"/>
      <c r="AN14"/>
      <c r="AR14"/>
    </row>
    <row r="15" spans="1:50">
      <c r="A15" s="105" t="s">
        <v>915</v>
      </c>
      <c r="B15" t="s">
        <v>916</v>
      </c>
      <c r="K15"/>
      <c r="L15"/>
      <c r="S15"/>
      <c r="T15"/>
      <c r="U15"/>
      <c r="Y15"/>
      <c r="AA15"/>
      <c r="AB15"/>
      <c r="AN15"/>
      <c r="AR15"/>
    </row>
    <row r="16" spans="1:50">
      <c r="A16" s="105" t="s">
        <v>315</v>
      </c>
      <c r="B16" t="s">
        <v>316</v>
      </c>
      <c r="K16"/>
      <c r="L16"/>
      <c r="S16"/>
      <c r="T16"/>
      <c r="U16"/>
      <c r="Y16"/>
      <c r="AA16"/>
      <c r="AB16"/>
      <c r="AN16"/>
      <c r="AR16"/>
    </row>
    <row r="17" spans="11:44">
      <c r="K17"/>
      <c r="L17"/>
      <c r="S17"/>
      <c r="T17"/>
      <c r="U17"/>
      <c r="Y17"/>
      <c r="AA17"/>
      <c r="AB17"/>
      <c r="AN17"/>
      <c r="AR17"/>
    </row>
    <row r="18" spans="11:4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22"/>
  <sheetViews>
    <sheetView workbookViewId="0">
      <selection activeCell="E22" sqref="E22"/>
    </sheetView>
  </sheetViews>
  <sheetFormatPr defaultRowHeight="14.6"/>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c r="A1" s="5" t="s">
        <v>87</v>
      </c>
      <c r="B1" s="22" t="s">
        <v>7</v>
      </c>
      <c r="C1" s="22" t="s">
        <v>8</v>
      </c>
      <c r="D1" s="30" t="s">
        <v>5</v>
      </c>
      <c r="E1" t="s">
        <v>4</v>
      </c>
      <c r="F1" t="s">
        <v>164</v>
      </c>
      <c r="G1" s="2" t="s">
        <v>166</v>
      </c>
      <c r="H1" t="s">
        <v>92</v>
      </c>
      <c r="I1" t="s">
        <v>17</v>
      </c>
      <c r="J1" t="s">
        <v>91</v>
      </c>
      <c r="K1" s="22" t="s">
        <v>16</v>
      </c>
      <c r="L1" t="s">
        <v>152</v>
      </c>
      <c r="M1" s="46" t="s">
        <v>179</v>
      </c>
      <c r="N1" t="s">
        <v>349</v>
      </c>
      <c r="O1" s="6" t="s">
        <v>350</v>
      </c>
      <c r="P1" s="6" t="s">
        <v>351</v>
      </c>
      <c r="Q1" s="92" t="s">
        <v>455</v>
      </c>
      <c r="R1" s="92" t="s">
        <v>456</v>
      </c>
      <c r="S1" s="92" t="s">
        <v>143</v>
      </c>
      <c r="T1" s="92" t="s">
        <v>501</v>
      </c>
      <c r="U1" s="92" t="s">
        <v>142</v>
      </c>
      <c r="V1" s="92" t="s">
        <v>457</v>
      </c>
      <c r="W1" s="93" t="s">
        <v>459</v>
      </c>
      <c r="X1" s="94" t="s">
        <v>211</v>
      </c>
      <c r="Y1" s="94" t="s">
        <v>461</v>
      </c>
      <c r="Z1" s="6" t="s">
        <v>144</v>
      </c>
      <c r="AA1" s="6" t="s">
        <v>9</v>
      </c>
      <c r="AB1" t="s">
        <v>138</v>
      </c>
      <c r="AC1" s="14" t="s">
        <v>147</v>
      </c>
      <c r="AD1" s="14" t="s">
        <v>322</v>
      </c>
      <c r="AE1" s="14" t="s">
        <v>502</v>
      </c>
      <c r="AF1" s="21" t="s">
        <v>352</v>
      </c>
      <c r="AG1" s="91" t="s">
        <v>23</v>
      </c>
      <c r="AH1" s="14" t="s">
        <v>353</v>
      </c>
      <c r="AI1" s="14" t="s">
        <v>321</v>
      </c>
      <c r="AJ1" s="95" t="s">
        <v>148</v>
      </c>
      <c r="AK1" s="96" t="s">
        <v>21</v>
      </c>
      <c r="AL1" s="13" t="s">
        <v>22</v>
      </c>
      <c r="AM1" t="s">
        <v>160</v>
      </c>
      <c r="AN1" s="95" t="s">
        <v>19</v>
      </c>
      <c r="AO1" s="21" t="s">
        <v>20</v>
      </c>
      <c r="AP1" s="21" t="s">
        <v>36</v>
      </c>
      <c r="AQ1" s="21" t="s">
        <v>149</v>
      </c>
      <c r="AR1" s="21" t="s">
        <v>150</v>
      </c>
      <c r="AS1" s="30" t="s">
        <v>151</v>
      </c>
      <c r="AT1" s="21" t="s">
        <v>24</v>
      </c>
      <c r="AU1" s="21" t="s">
        <v>27</v>
      </c>
      <c r="AV1" s="21" t="s">
        <v>25</v>
      </c>
      <c r="AW1" s="21" t="s">
        <v>26</v>
      </c>
      <c r="AX1" s="30" t="s">
        <v>154</v>
      </c>
      <c r="AY1" s="21" t="s">
        <v>155</v>
      </c>
      <c r="AZ1" s="21" t="s">
        <v>354</v>
      </c>
      <c r="BA1" s="97" t="s">
        <v>355</v>
      </c>
      <c r="BB1" s="21" t="s">
        <v>356</v>
      </c>
      <c r="BC1" s="21" t="s">
        <v>28</v>
      </c>
      <c r="BD1" s="21" t="s">
        <v>31</v>
      </c>
      <c r="BE1" s="21" t="s">
        <v>29</v>
      </c>
      <c r="BF1" s="21" t="s">
        <v>30</v>
      </c>
      <c r="BG1" s="27" t="s">
        <v>156</v>
      </c>
      <c r="BH1" s="21" t="s">
        <v>157</v>
      </c>
      <c r="BI1" s="21" t="s">
        <v>357</v>
      </c>
      <c r="BJ1" s="21" t="s">
        <v>358</v>
      </c>
      <c r="BK1" s="21" t="s">
        <v>359</v>
      </c>
      <c r="BL1" s="21" t="s">
        <v>32</v>
      </c>
      <c r="BM1" s="21" t="s">
        <v>35</v>
      </c>
      <c r="BN1" s="21" t="s">
        <v>33</v>
      </c>
      <c r="BO1" s="21" t="s">
        <v>34</v>
      </c>
      <c r="BP1" s="30" t="s">
        <v>158</v>
      </c>
      <c r="BQ1" s="21" t="s">
        <v>159</v>
      </c>
      <c r="BR1" s="21" t="s">
        <v>360</v>
      </c>
      <c r="BS1" s="21" t="s">
        <v>361</v>
      </c>
      <c r="BT1" s="21" t="s">
        <v>362</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363</v>
      </c>
      <c r="DT1" t="s">
        <v>163</v>
      </c>
      <c r="DU1" t="s">
        <v>178</v>
      </c>
      <c r="DV1" t="s">
        <v>167</v>
      </c>
      <c r="DW1" t="s">
        <v>364</v>
      </c>
      <c r="DX1" t="s">
        <v>165</v>
      </c>
      <c r="DY1" t="s">
        <v>161</v>
      </c>
      <c r="DZ1" t="s">
        <v>162</v>
      </c>
      <c r="EA1" s="22" t="s">
        <v>145</v>
      </c>
      <c r="EB1" t="s">
        <v>146</v>
      </c>
      <c r="EC1" t="s">
        <v>86</v>
      </c>
    </row>
    <row r="2" spans="1:133">
      <c r="A2" s="30">
        <v>36526</v>
      </c>
      <c r="B2" s="22">
        <v>36526</v>
      </c>
      <c r="C2" s="22" t="s">
        <v>434</v>
      </c>
      <c r="D2" s="30" t="s">
        <v>494</v>
      </c>
      <c r="E2" s="30" t="s">
        <v>435</v>
      </c>
      <c r="F2" s="30" t="s">
        <v>495</v>
      </c>
      <c r="G2" s="30" t="s">
        <v>436</v>
      </c>
      <c r="H2" t="s">
        <v>437</v>
      </c>
      <c r="I2" t="s">
        <v>496</v>
      </c>
      <c r="J2" t="s">
        <v>497</v>
      </c>
      <c r="K2" s="22">
        <v>36526</v>
      </c>
      <c r="L2">
        <v>0</v>
      </c>
      <c r="M2" s="26">
        <v>-0.99999998999999995</v>
      </c>
      <c r="N2" t="s">
        <v>369</v>
      </c>
      <c r="O2" t="s">
        <v>369</v>
      </c>
      <c r="P2" t="s">
        <v>369</v>
      </c>
      <c r="Q2" s="29" t="s">
        <v>498</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438</v>
      </c>
      <c r="AA2" t="s">
        <v>370</v>
      </c>
      <c r="AB2">
        <v>0</v>
      </c>
      <c r="AC2">
        <v>0</v>
      </c>
      <c r="AD2">
        <v>0</v>
      </c>
      <c r="AE2" t="str">
        <f>IF(RADataTable[[#This Row],[maxScore]]-RADataTable[[#This Row],[minScore]]&gt;4,"Y","")</f>
        <v>Y</v>
      </c>
      <c r="AF2" s="21">
        <v>1</v>
      </c>
      <c r="AG2" s="26">
        <v>4.5</v>
      </c>
      <c r="AH2">
        <v>9</v>
      </c>
      <c r="AI2" t="s">
        <v>371</v>
      </c>
      <c r="AJ2" s="30">
        <v>36526</v>
      </c>
      <c r="AK2" s="13">
        <v>99999999</v>
      </c>
      <c r="AL2" s="13">
        <v>99999999</v>
      </c>
      <c r="AM2">
        <v>0</v>
      </c>
      <c r="AN2" s="30">
        <v>36526</v>
      </c>
      <c r="AO2" s="21">
        <v>36</v>
      </c>
      <c r="AP2" s="21" t="s">
        <v>372</v>
      </c>
      <c r="AQ2">
        <v>0</v>
      </c>
      <c r="AR2" t="s">
        <v>210</v>
      </c>
      <c r="AS2" s="30">
        <v>36526</v>
      </c>
      <c r="AT2" t="s">
        <v>499</v>
      </c>
      <c r="AU2" s="21" t="s">
        <v>373</v>
      </c>
      <c r="AV2" s="21">
        <v>99</v>
      </c>
      <c r="AW2" s="21" t="s">
        <v>374</v>
      </c>
      <c r="AX2" s="30">
        <v>36526</v>
      </c>
      <c r="AY2" s="21" t="s">
        <v>371</v>
      </c>
      <c r="AZ2" s="21" t="s">
        <v>375</v>
      </c>
      <c r="BA2" s="21">
        <v>0</v>
      </c>
      <c r="BB2" s="21">
        <v>0</v>
      </c>
      <c r="BC2" s="21" t="s">
        <v>499</v>
      </c>
      <c r="BD2" s="21" t="s">
        <v>373</v>
      </c>
      <c r="BE2" s="21">
        <v>99</v>
      </c>
      <c r="BF2" s="21" t="s">
        <v>374</v>
      </c>
      <c r="BG2" s="30">
        <v>36526</v>
      </c>
      <c r="BH2" s="21" t="s">
        <v>371</v>
      </c>
      <c r="BI2" s="21" t="s">
        <v>375</v>
      </c>
      <c r="BJ2" s="21">
        <v>0</v>
      </c>
      <c r="BK2" s="21">
        <v>0</v>
      </c>
      <c r="BL2" s="21" t="s">
        <v>499</v>
      </c>
      <c r="BM2" s="21" t="s">
        <v>373</v>
      </c>
      <c r="BN2" s="21">
        <v>99</v>
      </c>
      <c r="BO2" s="21" t="s">
        <v>374</v>
      </c>
      <c r="BP2" s="30">
        <v>36526</v>
      </c>
      <c r="BQ2" s="21" t="s">
        <v>371</v>
      </c>
      <c r="BR2" s="21" t="s">
        <v>375</v>
      </c>
      <c r="BS2" s="21">
        <v>0</v>
      </c>
      <c r="BT2" s="21">
        <v>0</v>
      </c>
      <c r="BU2" t="s">
        <v>370</v>
      </c>
      <c r="BV2" s="21" t="s">
        <v>376</v>
      </c>
      <c r="BW2" s="21" t="s">
        <v>377</v>
      </c>
      <c r="BX2" s="21" t="s">
        <v>378</v>
      </c>
      <c r="BY2" s="31">
        <v>99999999</v>
      </c>
      <c r="BZ2" s="31">
        <v>99999999</v>
      </c>
      <c r="CA2" t="s">
        <v>379</v>
      </c>
      <c r="CB2" s="21" t="s">
        <v>370</v>
      </c>
      <c r="CC2" s="21" t="s">
        <v>376</v>
      </c>
      <c r="CD2" s="21" t="s">
        <v>377</v>
      </c>
      <c r="CE2" s="21" t="s">
        <v>378</v>
      </c>
      <c r="CF2" s="31">
        <v>99999999</v>
      </c>
      <c r="CG2" s="31">
        <v>99999999</v>
      </c>
      <c r="CH2" t="s">
        <v>379</v>
      </c>
      <c r="CI2" s="21" t="s">
        <v>370</v>
      </c>
      <c r="CJ2" s="21" t="s">
        <v>376</v>
      </c>
      <c r="CK2" s="21" t="s">
        <v>377</v>
      </c>
      <c r="CL2" s="21" t="s">
        <v>378</v>
      </c>
      <c r="CM2" s="31">
        <v>99999999</v>
      </c>
      <c r="CN2" s="31">
        <v>99999999</v>
      </c>
      <c r="CO2" t="s">
        <v>379</v>
      </c>
      <c r="CP2" s="21" t="s">
        <v>370</v>
      </c>
      <c r="CQ2" s="21" t="s">
        <v>376</v>
      </c>
      <c r="CR2" s="21" t="s">
        <v>377</v>
      </c>
      <c r="CS2" s="21" t="s">
        <v>378</v>
      </c>
      <c r="CT2" s="31">
        <v>99999999</v>
      </c>
      <c r="CU2" s="31">
        <v>99999999</v>
      </c>
      <c r="CV2" t="s">
        <v>379</v>
      </c>
      <c r="CW2" s="21" t="s">
        <v>370</v>
      </c>
      <c r="CX2" s="21" t="s">
        <v>376</v>
      </c>
      <c r="CY2" s="21" t="s">
        <v>377</v>
      </c>
      <c r="CZ2" s="21" t="s">
        <v>378</v>
      </c>
      <c r="DA2" s="31">
        <v>99999999</v>
      </c>
      <c r="DB2" s="31">
        <v>99999999</v>
      </c>
      <c r="DC2" t="s">
        <v>379</v>
      </c>
      <c r="DD2" s="21" t="s">
        <v>370</v>
      </c>
      <c r="DE2" s="21" t="s">
        <v>376</v>
      </c>
      <c r="DF2" s="21" t="s">
        <v>377</v>
      </c>
      <c r="DG2" s="21" t="s">
        <v>378</v>
      </c>
      <c r="DH2" s="31">
        <v>99999999</v>
      </c>
      <c r="DI2" s="31">
        <v>99999999</v>
      </c>
      <c r="DJ2" t="s">
        <v>379</v>
      </c>
      <c r="DK2" s="21" t="s">
        <v>370</v>
      </c>
      <c r="DL2" s="21" t="s">
        <v>376</v>
      </c>
      <c r="DM2" s="21" t="s">
        <v>377</v>
      </c>
      <c r="DN2" s="21" t="s">
        <v>378</v>
      </c>
      <c r="DO2" s="31">
        <v>99999999</v>
      </c>
      <c r="DP2" s="31">
        <v>99999999</v>
      </c>
      <c r="DQ2" t="s">
        <v>379</v>
      </c>
      <c r="DR2" t="s">
        <v>380</v>
      </c>
      <c r="DS2" t="s">
        <v>381</v>
      </c>
      <c r="DT2" t="s">
        <v>382</v>
      </c>
      <c r="DU2" s="29" t="s">
        <v>439</v>
      </c>
      <c r="DV2" t="s">
        <v>383</v>
      </c>
      <c r="DW2" t="s">
        <v>384</v>
      </c>
      <c r="DX2" t="s">
        <v>385</v>
      </c>
      <c r="DY2" t="s">
        <v>386</v>
      </c>
      <c r="DZ2" t="s">
        <v>387</v>
      </c>
      <c r="EA2" s="22">
        <v>36526</v>
      </c>
      <c r="EB2" t="s">
        <v>388</v>
      </c>
      <c r="EC2" t="s">
        <v>389</v>
      </c>
    </row>
    <row r="3" spans="1:133">
      <c r="A3" s="30">
        <v>42933.40896990741</v>
      </c>
      <c r="B3" s="22">
        <v>42808.710416666669</v>
      </c>
      <c r="C3" s="22" t="s">
        <v>1965</v>
      </c>
      <c r="D3" s="30" t="s">
        <v>741</v>
      </c>
      <c r="E3" s="30" t="s">
        <v>901</v>
      </c>
      <c r="F3" s="30" t="s">
        <v>170</v>
      </c>
      <c r="G3" s="30" t="s">
        <v>1974</v>
      </c>
      <c r="H3" t="s">
        <v>94</v>
      </c>
      <c r="I3" t="s">
        <v>1967</v>
      </c>
      <c r="J3" t="s">
        <v>942</v>
      </c>
      <c r="K3" s="22">
        <v>42928.395983796298</v>
      </c>
      <c r="L3">
        <v>1</v>
      </c>
      <c r="M3" s="26">
        <v>1.01</v>
      </c>
      <c r="N3" t="s">
        <v>946</v>
      </c>
      <c r="Q3" s="29" t="s">
        <v>13</v>
      </c>
      <c r="R3" s="29" t="str">
        <f>IFERROR(MID(RADataTable[[#This Row],[RAtemplate]],1,LEN(RADataTable[[#This Row],[RAtemplate]])-8),"RA") &amp; " " &amp; RADataTable[[#This Row],[prop_id0]] &amp; " " &amp; RADataTable[[#This Row],[last0]]</f>
        <v>RA 1740707 Wright</v>
      </c>
      <c r="U3" s="21" t="str">
        <f>IF(signer1="PD",IF(ISBLANK(RADataTable[[#This Row],[sign_blck_name]]),"",RADataTable[[#This Row],[sign_blck_name]]),IF(ISBLANK(signer1),"",signer1))</f>
        <v>Nandini Kannan</v>
      </c>
      <c r="V3" s="29" t="str">
        <f>signer2</f>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swright@cs.wisc.edu</v>
      </c>
      <c r="Y3" s="15" t="str">
        <f>HYPERLINK("mailto:"&amp;RADataTable[[#This Row],[allPIemail]]&amp;"&amp;subject=NSF Proposal:  "&amp;RADataTable[[#This Row],[Div]]&amp;" "&amp;RADataTable[[#This Row],[prop_id0]], "PIs@")</f>
        <v>PIs@</v>
      </c>
      <c r="Z3" t="s">
        <v>742</v>
      </c>
      <c r="AA3" t="s">
        <v>1052</v>
      </c>
      <c r="AB3">
        <v>3</v>
      </c>
      <c r="AD3"/>
      <c r="AE3" t="str">
        <f>IF(RADataTable[[#This Row],[maxScore]]-RADataTable[[#This Row],[minScore]]&gt;4,"Y","")</f>
        <v/>
      </c>
      <c r="AF3" s="21">
        <v>9</v>
      </c>
      <c r="AG3" s="26">
        <v>9</v>
      </c>
      <c r="AH3">
        <v>9</v>
      </c>
      <c r="AI3" t="s">
        <v>2062</v>
      </c>
      <c r="AJ3" s="30">
        <v>42877.646527777775</v>
      </c>
      <c r="AK3" s="13">
        <v>1499193</v>
      </c>
      <c r="AL3" s="13">
        <v>1499523</v>
      </c>
      <c r="AM3">
        <v>1</v>
      </c>
      <c r="AN3" s="30">
        <v>42979</v>
      </c>
      <c r="AO3" s="21">
        <v>36</v>
      </c>
      <c r="AP3" s="21" t="s">
        <v>2063</v>
      </c>
      <c r="AS3" s="30"/>
      <c r="AT3" t="s">
        <v>943</v>
      </c>
      <c r="AU3" s="21" t="s">
        <v>945</v>
      </c>
      <c r="AV3" s="21">
        <v>1</v>
      </c>
      <c r="AW3" s="21" t="s">
        <v>2521</v>
      </c>
      <c r="AX3" s="30">
        <v>42878</v>
      </c>
      <c r="AY3" s="21" t="s">
        <v>2539</v>
      </c>
      <c r="AZ3" s="21" t="s">
        <v>2523</v>
      </c>
      <c r="BA3" s="21">
        <v>12</v>
      </c>
      <c r="BG3" s="30"/>
      <c r="BP3" s="30"/>
      <c r="BU3" t="s">
        <v>1052</v>
      </c>
      <c r="BV3" s="21" t="s">
        <v>1053</v>
      </c>
      <c r="BW3" s="21" t="s">
        <v>2061</v>
      </c>
      <c r="BX3" s="21" t="s">
        <v>247</v>
      </c>
      <c r="BY3" s="31">
        <v>1499193</v>
      </c>
      <c r="BZ3" s="31">
        <v>1499523</v>
      </c>
      <c r="CA3" t="s">
        <v>1968</v>
      </c>
      <c r="CF3" s="31"/>
      <c r="CG3" s="31"/>
      <c r="CM3" s="31"/>
      <c r="CN3" s="31"/>
      <c r="CT3" s="31"/>
      <c r="CU3" s="31"/>
      <c r="CV3" s="31"/>
      <c r="DA3" s="31"/>
      <c r="DB3" s="31"/>
      <c r="DC3" s="31"/>
      <c r="DH3" s="31"/>
      <c r="DI3" s="31"/>
      <c r="DO3" s="31"/>
      <c r="DP3" s="31"/>
      <c r="DR3" t="s">
        <v>2519</v>
      </c>
      <c r="DS3" t="s">
        <v>837</v>
      </c>
      <c r="DT3" t="s">
        <v>902</v>
      </c>
      <c r="DU3" s="29" t="s">
        <v>2531</v>
      </c>
      <c r="DV3" t="s">
        <v>1977</v>
      </c>
      <c r="DW3" t="s">
        <v>366</v>
      </c>
      <c r="DX3" t="s">
        <v>171</v>
      </c>
      <c r="DY3" t="s">
        <v>168</v>
      </c>
      <c r="DZ3" t="s">
        <v>169</v>
      </c>
      <c r="EA3" s="22">
        <v>43077.177256944444</v>
      </c>
      <c r="EB3" t="s">
        <v>2064</v>
      </c>
      <c r="EC3" t="s">
        <v>2540</v>
      </c>
    </row>
    <row r="4" spans="1:133">
      <c r="A4" s="30">
        <v>42933.413645833331</v>
      </c>
      <c r="B4" s="22">
        <v>42809.683333333334</v>
      </c>
      <c r="C4" s="22" t="s">
        <v>1965</v>
      </c>
      <c r="D4" s="30" t="s">
        <v>741</v>
      </c>
      <c r="E4" s="30" t="s">
        <v>901</v>
      </c>
      <c r="F4" s="30" t="s">
        <v>170</v>
      </c>
      <c r="G4" s="30" t="s">
        <v>1974</v>
      </c>
      <c r="H4" t="s">
        <v>94</v>
      </c>
      <c r="I4" t="s">
        <v>1967</v>
      </c>
      <c r="J4" t="s">
        <v>543</v>
      </c>
      <c r="K4" s="22">
        <v>42929.446134259262</v>
      </c>
      <c r="L4">
        <v>1</v>
      </c>
      <c r="M4" s="26">
        <v>1.01</v>
      </c>
      <c r="N4" t="s">
        <v>946</v>
      </c>
      <c r="Q4" s="29" t="s">
        <v>13</v>
      </c>
      <c r="R4" s="29" t="str">
        <f>IFERROR(MID(RADataTable[[#This Row],[RAtemplate]],1,LEN(RADataTable[[#This Row],[RAtemplate]])-8),"RA") &amp; " " &amp; RADataTable[[#This Row],[prop_id0]] &amp; " " &amp; RADataTable[[#This Row],[last0]]</f>
        <v>RA 1740822 Weinberger</v>
      </c>
      <c r="U4" s="21" t="str">
        <f>IF(signer1="PD",IF(ISBLANK(RADataTable[[#This Row],[sign_blck_name]]),"",RADataTable[[#This Row],[sign_blck_name]]),IF(ISBLANK(signer1),"",signer1))</f>
        <v>Tracy J. Kimbrel</v>
      </c>
      <c r="V4" s="29" t="str">
        <f>signer2</f>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kilianweinberger@cornell.edu</v>
      </c>
      <c r="Y4" s="15" t="str">
        <f>HYPERLINK("mailto:"&amp;RADataTable[[#This Row],[allPIemail]]&amp;"&amp;subject=NSF Proposal:  "&amp;RADataTable[[#This Row],[Div]]&amp;" "&amp;RADataTable[[#This Row],[prop_id0]], "PIs@")</f>
        <v>PIs@</v>
      </c>
      <c r="Z4" t="s">
        <v>742</v>
      </c>
      <c r="AA4" t="s">
        <v>1320</v>
      </c>
      <c r="AB4">
        <v>3</v>
      </c>
      <c r="AD4"/>
      <c r="AE4" t="str">
        <f>IF(RADataTable[[#This Row],[maxScore]]-RADataTable[[#This Row],[minScore]]&gt;4,"Y","")</f>
        <v/>
      </c>
      <c r="AF4" s="21">
        <v>8</v>
      </c>
      <c r="AG4" s="26">
        <v>8.6666666666666661</v>
      </c>
      <c r="AH4">
        <v>9</v>
      </c>
      <c r="AI4" t="s">
        <v>2258</v>
      </c>
      <c r="AJ4" s="30">
        <v>42870.640972222223</v>
      </c>
      <c r="AK4" s="13">
        <v>1497238</v>
      </c>
      <c r="AL4" s="13">
        <v>1496655</v>
      </c>
      <c r="AM4">
        <v>1</v>
      </c>
      <c r="AN4" s="30">
        <v>43009</v>
      </c>
      <c r="AO4" s="21">
        <v>36</v>
      </c>
      <c r="AP4" s="21" t="s">
        <v>2259</v>
      </c>
      <c r="AS4" s="30"/>
      <c r="AT4" t="s">
        <v>919</v>
      </c>
      <c r="AU4" s="21" t="s">
        <v>945</v>
      </c>
      <c r="AV4" s="21">
        <v>1</v>
      </c>
      <c r="AW4" s="21" t="s">
        <v>2517</v>
      </c>
      <c r="AX4" s="30">
        <v>42872</v>
      </c>
      <c r="AY4" s="21" t="s">
        <v>2590</v>
      </c>
      <c r="AZ4" s="21" t="s">
        <v>2518</v>
      </c>
      <c r="BA4" s="21">
        <v>12</v>
      </c>
      <c r="BB4" s="21">
        <v>1</v>
      </c>
      <c r="BG4" s="30"/>
      <c r="BP4" s="30"/>
      <c r="BU4" t="s">
        <v>1320</v>
      </c>
      <c r="BV4" s="21" t="s">
        <v>1321</v>
      </c>
      <c r="BW4" s="21" t="s">
        <v>2256</v>
      </c>
      <c r="BX4" s="21" t="s">
        <v>2257</v>
      </c>
      <c r="BY4" s="31">
        <v>1497238</v>
      </c>
      <c r="BZ4" s="31">
        <v>1496655</v>
      </c>
      <c r="CA4" t="s">
        <v>1968</v>
      </c>
      <c r="CF4" s="31"/>
      <c r="CG4" s="31"/>
      <c r="CM4" s="31"/>
      <c r="CN4" s="31"/>
      <c r="CT4" s="31"/>
      <c r="CU4" s="31"/>
      <c r="CV4" s="31"/>
      <c r="DA4" s="31"/>
      <c r="DB4" s="31"/>
      <c r="DC4" s="31"/>
      <c r="DH4" s="31"/>
      <c r="DI4" s="31"/>
      <c r="DO4" s="31"/>
      <c r="DP4" s="31"/>
      <c r="DR4" t="s">
        <v>2519</v>
      </c>
      <c r="DS4" t="s">
        <v>837</v>
      </c>
      <c r="DT4" t="s">
        <v>902</v>
      </c>
      <c r="DU4" s="29" t="s">
        <v>850</v>
      </c>
      <c r="DV4" t="s">
        <v>1977</v>
      </c>
      <c r="DW4" t="s">
        <v>366</v>
      </c>
      <c r="DX4" t="s">
        <v>171</v>
      </c>
      <c r="DY4" t="s">
        <v>168</v>
      </c>
      <c r="DZ4" t="s">
        <v>169</v>
      </c>
      <c r="EA4" s="22">
        <v>43077.177256944444</v>
      </c>
      <c r="EB4" t="s">
        <v>2260</v>
      </c>
      <c r="EC4" t="s">
        <v>2591</v>
      </c>
    </row>
    <row r="5" spans="1:133">
      <c r="A5" s="30"/>
      <c r="B5" s="22">
        <v>42933.820138888892</v>
      </c>
      <c r="C5" s="22" t="s">
        <v>242</v>
      </c>
      <c r="D5" s="30" t="s">
        <v>741</v>
      </c>
      <c r="E5" s="30" t="s">
        <v>528</v>
      </c>
      <c r="F5" s="30" t="s">
        <v>170</v>
      </c>
      <c r="G5" s="30" t="s">
        <v>172</v>
      </c>
      <c r="H5" t="s">
        <v>94</v>
      </c>
      <c r="I5" t="s">
        <v>743</v>
      </c>
      <c r="J5" t="s">
        <v>540</v>
      </c>
      <c r="L5">
        <v>1</v>
      </c>
      <c r="M5" s="26">
        <v>1.01</v>
      </c>
      <c r="N5" t="s">
        <v>243</v>
      </c>
      <c r="Q5" s="29" t="s">
        <v>13</v>
      </c>
      <c r="R5" s="29" t="str">
        <f>IFERROR(MID(RADataTable[[#This Row],[RAtemplate]],1,LEN(RADataTable[[#This Row],[RAtemplate]])-8),"RA") &amp; " " &amp; RADataTable[[#This Row],[prop_id0]] &amp; " " &amp; RADataTable[[#This Row],[last0]]</f>
        <v>RA 1749609 Lee</v>
      </c>
      <c r="U5" s="21" t="str">
        <f>IF(signer1="PD",IF(ISBLANK(RADataTable[[#This Row],[sign_blck_name]]),"",RADataTable[[#This Row],[sign_blck_name]]),IF(ISBLANK(signer1),"",signer1))</f>
        <v>Jack Snoeyink</v>
      </c>
      <c r="V5" s="29" t="str">
        <f>signer2</f>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yintat@uw.edu</v>
      </c>
      <c r="Y5" s="15" t="str">
        <f>HYPERLINK("mailto:"&amp;RADataTable[[#This Row],[allPIemail]]&amp;"&amp;subject=NSF Proposal:  "&amp;RADataTable[[#This Row],[Div]]&amp;" "&amp;RADataTable[[#This Row],[prop_id0]], "PIs@")</f>
        <v>PIs@</v>
      </c>
      <c r="Z5" t="s">
        <v>742</v>
      </c>
      <c r="AA5" t="s">
        <v>596</v>
      </c>
      <c r="AB5">
        <v>4</v>
      </c>
      <c r="AC5">
        <v>4</v>
      </c>
      <c r="AD5"/>
      <c r="AE5" t="str">
        <f>IF(RADataTable[[#This Row],[maxScore]]-RADataTable[[#This Row],[minScore]]&gt;4,"Y","")</f>
        <v/>
      </c>
      <c r="AF5" s="21">
        <v>6</v>
      </c>
      <c r="AG5" s="26">
        <v>8</v>
      </c>
      <c r="AH5">
        <v>9</v>
      </c>
      <c r="AI5" t="s">
        <v>762</v>
      </c>
      <c r="AJ5" s="30">
        <v>43031.375694444447</v>
      </c>
      <c r="AK5" s="13">
        <v>549841</v>
      </c>
      <c r="AL5" s="13">
        <v>549841</v>
      </c>
      <c r="AM5">
        <v>0</v>
      </c>
      <c r="AN5" s="30">
        <v>43175</v>
      </c>
      <c r="AO5" s="21">
        <v>60</v>
      </c>
      <c r="AP5" s="21" t="s">
        <v>763</v>
      </c>
      <c r="AS5" s="30"/>
      <c r="AT5" t="s">
        <v>544</v>
      </c>
      <c r="AU5" s="21" t="s">
        <v>245</v>
      </c>
      <c r="AV5" s="21">
        <v>1</v>
      </c>
      <c r="AW5" s="21" t="s">
        <v>839</v>
      </c>
      <c r="AX5" s="30">
        <v>43032</v>
      </c>
      <c r="AY5" s="21" t="s">
        <v>847</v>
      </c>
      <c r="AZ5" s="21" t="s">
        <v>841</v>
      </c>
      <c r="BA5" s="21">
        <v>14</v>
      </c>
      <c r="BB5" s="21">
        <v>3</v>
      </c>
      <c r="BG5" s="30"/>
      <c r="BP5" s="30"/>
      <c r="BU5" t="s">
        <v>596</v>
      </c>
      <c r="BV5" s="21" t="s">
        <v>337</v>
      </c>
      <c r="BW5" s="21" t="s">
        <v>761</v>
      </c>
      <c r="BX5" s="21" t="s">
        <v>244</v>
      </c>
      <c r="BY5" s="31">
        <v>549841</v>
      </c>
      <c r="BZ5" s="31">
        <v>549841</v>
      </c>
      <c r="CA5" t="s">
        <v>744</v>
      </c>
      <c r="CF5" s="31"/>
      <c r="CG5" s="31"/>
      <c r="CM5" s="31"/>
      <c r="CN5" s="31"/>
      <c r="CT5" s="31"/>
      <c r="CU5" s="31"/>
      <c r="CV5" s="31"/>
      <c r="DA5" s="31"/>
      <c r="DB5" s="31"/>
      <c r="DC5" s="31"/>
      <c r="DH5" s="31"/>
      <c r="DI5" s="31"/>
      <c r="DO5" s="31"/>
      <c r="DP5" s="31"/>
      <c r="DR5" t="s">
        <v>246</v>
      </c>
      <c r="DS5" t="s">
        <v>837</v>
      </c>
      <c r="DT5" t="s">
        <v>529</v>
      </c>
      <c r="DU5" s="29" t="s">
        <v>838</v>
      </c>
      <c r="DV5" t="s">
        <v>173</v>
      </c>
      <c r="DW5" t="s">
        <v>366</v>
      </c>
      <c r="DX5" t="s">
        <v>171</v>
      </c>
      <c r="DY5" t="s">
        <v>168</v>
      </c>
      <c r="DZ5" t="s">
        <v>169</v>
      </c>
      <c r="EA5" s="22">
        <v>43077.177256944444</v>
      </c>
      <c r="EB5" t="s">
        <v>764</v>
      </c>
      <c r="EC5" t="s">
        <v>848</v>
      </c>
    </row>
    <row r="6" spans="1:133">
      <c r="A6" s="30"/>
      <c r="B6" s="22">
        <v>42935.488888888889</v>
      </c>
      <c r="C6" s="22" t="s">
        <v>242</v>
      </c>
      <c r="D6" s="30" t="s">
        <v>741</v>
      </c>
      <c r="E6" s="30" t="s">
        <v>528</v>
      </c>
      <c r="F6" s="30" t="s">
        <v>170</v>
      </c>
      <c r="G6" s="30" t="s">
        <v>172</v>
      </c>
      <c r="H6" t="s">
        <v>94</v>
      </c>
      <c r="I6" t="s">
        <v>743</v>
      </c>
      <c r="J6" t="s">
        <v>1530</v>
      </c>
      <c r="L6">
        <v>1</v>
      </c>
      <c r="M6" s="26">
        <v>1.01</v>
      </c>
      <c r="N6" t="s">
        <v>243</v>
      </c>
      <c r="Q6" s="29" t="s">
        <v>13</v>
      </c>
      <c r="R6" s="29" t="str">
        <f>IFERROR(MID(RADataTable[[#This Row],[RAtemplate]],1,LEN(RADataTable[[#This Row],[RAtemplate]])-8),"RA") &amp; " " &amp; RADataTable[[#This Row],[prop_id0]] &amp; " " &amp; RADataTable[[#This Row],[last0]]</f>
        <v>RA 1750333 Ene</v>
      </c>
      <c r="U6" s="21" t="str">
        <f>IF(signer1="PD",IF(ISBLANK(RADataTable[[#This Row],[sign_blck_name]]),"",RADataTable[[#This Row],[sign_blck_name]]),IF(ISBLANK(signer1),"",signer1))</f>
        <v>Rahul Shah</v>
      </c>
      <c r="V6" s="29" t="str">
        <f>signer2</f>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aene@bu.edu</v>
      </c>
      <c r="Y6" s="15" t="str">
        <f>HYPERLINK("mailto:"&amp;RADataTable[[#This Row],[allPIemail]]&amp;"&amp;subject=NSF Proposal:  "&amp;RADataTable[[#This Row],[Div]]&amp;" "&amp;RADataTable[[#This Row],[prop_id0]], "PIs@")</f>
        <v>PIs@</v>
      </c>
      <c r="Z6" t="s">
        <v>742</v>
      </c>
      <c r="AA6" t="s">
        <v>1640</v>
      </c>
      <c r="AB6">
        <v>4</v>
      </c>
      <c r="AC6">
        <v>4</v>
      </c>
      <c r="AD6"/>
      <c r="AE6" t="str">
        <f>IF(RADataTable[[#This Row],[maxScore]]-RADataTable[[#This Row],[minScore]]&gt;4,"Y","")</f>
        <v/>
      </c>
      <c r="AF6" s="21">
        <v>5</v>
      </c>
      <c r="AG6" s="26">
        <v>7.5</v>
      </c>
      <c r="AH6">
        <v>9</v>
      </c>
      <c r="AI6" t="s">
        <v>2392</v>
      </c>
      <c r="AJ6" s="30">
        <v>43032.52847222222</v>
      </c>
      <c r="AK6" s="13">
        <v>507423</v>
      </c>
      <c r="AL6" s="13">
        <v>507423</v>
      </c>
      <c r="AM6">
        <v>0</v>
      </c>
      <c r="AN6" s="30">
        <v>43101</v>
      </c>
      <c r="AO6" s="21">
        <v>60</v>
      </c>
      <c r="AP6" s="21" t="s">
        <v>2393</v>
      </c>
      <c r="AS6" s="30"/>
      <c r="AT6" t="s">
        <v>544</v>
      </c>
      <c r="AU6" s="21" t="s">
        <v>245</v>
      </c>
      <c r="AV6" s="21">
        <v>1</v>
      </c>
      <c r="AW6" s="21" t="s">
        <v>839</v>
      </c>
      <c r="AX6" s="30">
        <v>43032</v>
      </c>
      <c r="AY6" s="21" t="s">
        <v>2647</v>
      </c>
      <c r="AZ6" s="21" t="s">
        <v>841</v>
      </c>
      <c r="BA6" s="21">
        <v>14</v>
      </c>
      <c r="BB6" s="21">
        <v>1</v>
      </c>
      <c r="BG6" s="30"/>
      <c r="BP6" s="30"/>
      <c r="BU6" t="s">
        <v>1640</v>
      </c>
      <c r="BV6" s="21" t="s">
        <v>1641</v>
      </c>
      <c r="BW6" s="21" t="s">
        <v>2391</v>
      </c>
      <c r="BX6" s="21" t="s">
        <v>2287</v>
      </c>
      <c r="BY6" s="31">
        <v>507423</v>
      </c>
      <c r="BZ6" s="31">
        <v>507423</v>
      </c>
      <c r="CA6" t="s">
        <v>744</v>
      </c>
      <c r="CF6" s="31"/>
      <c r="CG6" s="31"/>
      <c r="CM6" s="31"/>
      <c r="CN6" s="31"/>
      <c r="CT6" s="31"/>
      <c r="CU6" s="31"/>
      <c r="CV6" s="31"/>
      <c r="DA6" s="31"/>
      <c r="DB6" s="31"/>
      <c r="DC6" s="31"/>
      <c r="DH6" s="31"/>
      <c r="DI6" s="31"/>
      <c r="DO6" s="31"/>
      <c r="DP6" s="31"/>
      <c r="DR6" t="s">
        <v>246</v>
      </c>
      <c r="DS6" t="s">
        <v>837</v>
      </c>
      <c r="DT6" t="s">
        <v>529</v>
      </c>
      <c r="DU6" s="29" t="s">
        <v>2627</v>
      </c>
      <c r="DV6" t="s">
        <v>173</v>
      </c>
      <c r="DW6" t="s">
        <v>366</v>
      </c>
      <c r="DX6" t="s">
        <v>171</v>
      </c>
      <c r="DY6" t="s">
        <v>168</v>
      </c>
      <c r="DZ6" t="s">
        <v>169</v>
      </c>
      <c r="EA6" s="22">
        <v>43077.177256944444</v>
      </c>
      <c r="EB6" t="s">
        <v>2394</v>
      </c>
      <c r="EC6" t="s">
        <v>2648</v>
      </c>
    </row>
    <row r="7" spans="1:133">
      <c r="A7" s="30"/>
      <c r="B7" s="22">
        <v>42935.576388888891</v>
      </c>
      <c r="C7" s="22" t="s">
        <v>242</v>
      </c>
      <c r="D7" s="30" t="s">
        <v>741</v>
      </c>
      <c r="E7" s="30" t="s">
        <v>528</v>
      </c>
      <c r="F7" s="30" t="s">
        <v>170</v>
      </c>
      <c r="G7" s="30" t="s">
        <v>172</v>
      </c>
      <c r="H7" t="s">
        <v>94</v>
      </c>
      <c r="I7" t="s">
        <v>743</v>
      </c>
      <c r="J7" t="s">
        <v>543</v>
      </c>
      <c r="L7">
        <v>1</v>
      </c>
      <c r="M7" s="26">
        <v>1.01</v>
      </c>
      <c r="N7" t="s">
        <v>243</v>
      </c>
      <c r="Q7" s="29" t="s">
        <v>13</v>
      </c>
      <c r="R7" s="29" t="str">
        <f>IFERROR(MID(RADataTable[[#This Row],[RAtemplate]],1,LEN(RADataTable[[#This Row],[RAtemplate]])-8),"RA") &amp; " " &amp; RADataTable[[#This Row],[prop_id0]] &amp; " " &amp; RADataTable[[#This Row],[last0]]</f>
        <v>RA 1750555 Hardt</v>
      </c>
      <c r="U7" s="21" t="str">
        <f>IF(signer1="PD",IF(ISBLANK(RADataTable[[#This Row],[sign_blck_name]]),"",RADataTable[[#This Row],[sign_blck_name]]),IF(ISBLANK(signer1),"",signer1))</f>
        <v>Tracy J. Kimbrel</v>
      </c>
      <c r="V7" s="29" t="str">
        <f>signer2</f>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 xml:space="preserve"> hardt@eecs.berkeley.edu</v>
      </c>
      <c r="Y7" s="15" t="str">
        <f>HYPERLINK("mailto:"&amp;RADataTable[[#This Row],[allPIemail]]&amp;"&amp;subject=NSF Proposal:  "&amp;RADataTable[[#This Row],[Div]]&amp;" "&amp;RADataTable[[#This Row],[prop_id0]], "PIs@")</f>
        <v>PIs@</v>
      </c>
      <c r="Z7" t="s">
        <v>742</v>
      </c>
      <c r="AA7" t="s">
        <v>1705</v>
      </c>
      <c r="AB7">
        <v>4</v>
      </c>
      <c r="AC7">
        <v>4</v>
      </c>
      <c r="AD7"/>
      <c r="AE7" t="str">
        <f>IF(RADataTable[[#This Row],[maxScore]]-RADataTable[[#This Row],[minScore]]&gt;4,"Y","")</f>
        <v/>
      </c>
      <c r="AF7" s="21">
        <v>8</v>
      </c>
      <c r="AG7" s="26">
        <v>8.75</v>
      </c>
      <c r="AH7">
        <v>9</v>
      </c>
      <c r="AI7" t="s">
        <v>2413</v>
      </c>
      <c r="AJ7" s="30">
        <v>43059.785416666666</v>
      </c>
      <c r="AK7" s="13">
        <v>499434</v>
      </c>
      <c r="AL7" s="13">
        <v>499434</v>
      </c>
      <c r="AM7">
        <v>0</v>
      </c>
      <c r="AN7" s="30">
        <v>43132</v>
      </c>
      <c r="AO7" s="21">
        <v>60</v>
      </c>
      <c r="AP7" s="21" t="s">
        <v>2414</v>
      </c>
      <c r="AS7" s="30"/>
      <c r="AT7" t="s">
        <v>619</v>
      </c>
      <c r="AU7" s="21" t="s">
        <v>245</v>
      </c>
      <c r="AV7" s="21">
        <v>1</v>
      </c>
      <c r="AW7" s="21" t="s">
        <v>852</v>
      </c>
      <c r="AX7" s="30">
        <v>43060</v>
      </c>
      <c r="AY7" s="21" t="s">
        <v>2659</v>
      </c>
      <c r="AZ7" s="21" t="s">
        <v>854</v>
      </c>
      <c r="BA7" s="21">
        <v>12</v>
      </c>
      <c r="BG7" s="30"/>
      <c r="BP7" s="30"/>
      <c r="BU7" t="s">
        <v>1705</v>
      </c>
      <c r="BV7" s="21" t="s">
        <v>1706</v>
      </c>
      <c r="BW7" s="21" t="s">
        <v>2412</v>
      </c>
      <c r="BX7" s="21" t="s">
        <v>2325</v>
      </c>
      <c r="BY7" s="31">
        <v>499434</v>
      </c>
      <c r="BZ7" s="31">
        <v>499434</v>
      </c>
      <c r="CA7" t="s">
        <v>744</v>
      </c>
      <c r="CF7" s="31"/>
      <c r="CG7" s="31"/>
      <c r="CM7" s="31"/>
      <c r="CN7" s="31"/>
      <c r="CT7" s="31"/>
      <c r="CU7" s="31"/>
      <c r="CV7" s="31"/>
      <c r="DA7" s="31"/>
      <c r="DB7" s="31"/>
      <c r="DC7" s="31"/>
      <c r="DH7" s="31"/>
      <c r="DI7" s="31"/>
      <c r="DO7" s="31"/>
      <c r="DP7" s="31"/>
      <c r="DR7" t="s">
        <v>246</v>
      </c>
      <c r="DS7" t="s">
        <v>837</v>
      </c>
      <c r="DT7" t="s">
        <v>529</v>
      </c>
      <c r="DU7" s="29" t="s">
        <v>850</v>
      </c>
      <c r="DV7" t="s">
        <v>173</v>
      </c>
      <c r="DW7" t="s">
        <v>366</v>
      </c>
      <c r="DX7" t="s">
        <v>171</v>
      </c>
      <c r="DY7" t="s">
        <v>168</v>
      </c>
      <c r="DZ7" t="s">
        <v>169</v>
      </c>
      <c r="EA7" s="22">
        <v>43077.177256944444</v>
      </c>
      <c r="EB7" t="s">
        <v>2415</v>
      </c>
      <c r="EC7" t="s">
        <v>2660</v>
      </c>
    </row>
    <row r="8" spans="1:133">
      <c r="A8" s="30"/>
      <c r="B8" s="22">
        <v>42935.638888888891</v>
      </c>
      <c r="C8" s="22" t="s">
        <v>242</v>
      </c>
      <c r="D8" s="30" t="s">
        <v>741</v>
      </c>
      <c r="E8" s="30" t="s">
        <v>528</v>
      </c>
      <c r="F8" s="30" t="s">
        <v>170</v>
      </c>
      <c r="G8" s="30" t="s">
        <v>172</v>
      </c>
      <c r="H8" t="s">
        <v>94</v>
      </c>
      <c r="I8" t="s">
        <v>743</v>
      </c>
      <c r="J8" t="s">
        <v>1530</v>
      </c>
      <c r="L8">
        <v>2</v>
      </c>
      <c r="M8" s="26">
        <v>1.01</v>
      </c>
      <c r="N8" t="s">
        <v>243</v>
      </c>
      <c r="O8" t="s">
        <v>248</v>
      </c>
      <c r="Q8" s="29" t="s">
        <v>13</v>
      </c>
      <c r="R8" s="29" t="str">
        <f>IFERROR(MID(RADataTable[[#This Row],[RAtemplate]],1,LEN(RADataTable[[#This Row],[RAtemplate]])-8),"RA") &amp; " " &amp; RADataTable[[#This Row],[prop_id0]] &amp; " " &amp; RADataTable[[#This Row],[last0]]</f>
        <v>RA 1750808 Haeupler</v>
      </c>
      <c r="U8" s="21" t="str">
        <f>IF(signer1="PD",IF(ISBLANK(RADataTable[[#This Row],[sign_blck_name]]),"",RADataTable[[#This Row],[sign_blck_name]]),IF(ISBLANK(signer1),"",signer1))</f>
        <v>Rahul Shah</v>
      </c>
      <c r="V8" s="29" t="str">
        <f>signer2</f>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haeupler@cs.cmu.edu</v>
      </c>
      <c r="Y8" s="15" t="str">
        <f>HYPERLINK("mailto:"&amp;RADataTable[[#This Row],[allPIemail]]&amp;"&amp;subject=NSF Proposal:  "&amp;RADataTable[[#This Row],[Div]]&amp;" "&amp;RADataTable[[#This Row],[prop_id0]], "PIs@")</f>
        <v>PIs@</v>
      </c>
      <c r="Z8" t="s">
        <v>742</v>
      </c>
      <c r="AA8" t="s">
        <v>1740</v>
      </c>
      <c r="AB8">
        <v>8</v>
      </c>
      <c r="AC8">
        <v>4</v>
      </c>
      <c r="AD8"/>
      <c r="AE8" t="str">
        <f>IF(RADataTable[[#This Row],[maxScore]]-RADataTable[[#This Row],[minScore]]&gt;4,"Y","")</f>
        <v/>
      </c>
      <c r="AF8" s="21">
        <v>5</v>
      </c>
      <c r="AG8" s="26">
        <v>7.75</v>
      </c>
      <c r="AH8">
        <v>9</v>
      </c>
      <c r="AI8" t="s">
        <v>2430</v>
      </c>
      <c r="AJ8" s="30">
        <v>43059.921527777777</v>
      </c>
      <c r="AK8" s="13">
        <v>613868</v>
      </c>
      <c r="AL8" s="13">
        <v>613868</v>
      </c>
      <c r="AM8">
        <v>0</v>
      </c>
      <c r="AN8" s="30">
        <v>43101</v>
      </c>
      <c r="AO8" s="21">
        <v>60</v>
      </c>
      <c r="AP8" s="21" t="s">
        <v>2431</v>
      </c>
      <c r="AS8" s="30"/>
      <c r="AT8" t="s">
        <v>1669</v>
      </c>
      <c r="AU8" s="21" t="s">
        <v>245</v>
      </c>
      <c r="AV8" s="21">
        <v>1</v>
      </c>
      <c r="AW8" s="21" t="s">
        <v>2653</v>
      </c>
      <c r="AX8" s="30">
        <v>43046</v>
      </c>
      <c r="AY8" s="21" t="s">
        <v>2667</v>
      </c>
      <c r="AZ8" s="21" t="s">
        <v>2655</v>
      </c>
      <c r="BA8" s="21">
        <v>9</v>
      </c>
      <c r="BC8" s="21" t="s">
        <v>619</v>
      </c>
      <c r="BD8" s="21" t="s">
        <v>249</v>
      </c>
      <c r="BE8" s="21">
        <v>11</v>
      </c>
      <c r="BF8" s="21" t="s">
        <v>852</v>
      </c>
      <c r="BG8" s="30">
        <v>43060</v>
      </c>
      <c r="BH8" s="21" t="s">
        <v>2668</v>
      </c>
      <c r="BI8" s="21" t="s">
        <v>854</v>
      </c>
      <c r="BJ8" s="21">
        <v>12</v>
      </c>
      <c r="BK8" s="21">
        <v>1</v>
      </c>
      <c r="BP8" s="30"/>
      <c r="BU8" t="s">
        <v>1740</v>
      </c>
      <c r="BV8" s="21" t="s">
        <v>1741</v>
      </c>
      <c r="BW8" s="21" t="s">
        <v>2429</v>
      </c>
      <c r="BX8" s="21" t="s">
        <v>2127</v>
      </c>
      <c r="BY8" s="31">
        <v>613868</v>
      </c>
      <c r="BZ8" s="31">
        <v>613868</v>
      </c>
      <c r="CA8" t="s">
        <v>779</v>
      </c>
      <c r="CF8" s="31"/>
      <c r="CG8" s="31"/>
      <c r="CM8" s="31"/>
      <c r="CN8" s="31"/>
      <c r="CT8" s="31"/>
      <c r="CU8" s="31"/>
      <c r="CV8" s="31"/>
      <c r="DA8" s="31"/>
      <c r="DB8" s="31"/>
      <c r="DC8" s="31"/>
      <c r="DH8" s="31"/>
      <c r="DI8" s="31"/>
      <c r="DO8" s="31"/>
      <c r="DP8" s="31"/>
      <c r="DR8" t="s">
        <v>246</v>
      </c>
      <c r="DS8" t="s">
        <v>837</v>
      </c>
      <c r="DT8" t="s">
        <v>529</v>
      </c>
      <c r="DU8" s="29" t="s">
        <v>2627</v>
      </c>
      <c r="DV8" t="s">
        <v>173</v>
      </c>
      <c r="DW8" t="s">
        <v>366</v>
      </c>
      <c r="DX8" t="s">
        <v>171</v>
      </c>
      <c r="DY8" t="s">
        <v>168</v>
      </c>
      <c r="DZ8" t="s">
        <v>169</v>
      </c>
      <c r="EA8" s="22">
        <v>43077.177256944444</v>
      </c>
      <c r="EB8" t="s">
        <v>2432</v>
      </c>
      <c r="EC8" t="s">
        <v>2669</v>
      </c>
    </row>
    <row r="9" spans="1:133">
      <c r="A9" s="30"/>
      <c r="B9" s="22">
        <v>42950.663888888892</v>
      </c>
      <c r="C9" s="22" t="s">
        <v>808</v>
      </c>
      <c r="D9" s="30" t="s">
        <v>2348</v>
      </c>
      <c r="E9" s="30" t="s">
        <v>903</v>
      </c>
      <c r="F9" s="30" t="s">
        <v>170</v>
      </c>
      <c r="G9" s="30" t="s">
        <v>172</v>
      </c>
      <c r="H9" t="s">
        <v>94</v>
      </c>
      <c r="I9" t="s">
        <v>2468</v>
      </c>
      <c r="J9" t="s">
        <v>1823</v>
      </c>
      <c r="L9">
        <v>2</v>
      </c>
      <c r="M9" s="26">
        <v>1.01</v>
      </c>
      <c r="N9" t="s">
        <v>344</v>
      </c>
      <c r="O9" t="s">
        <v>243</v>
      </c>
      <c r="Q9" s="29" t="s">
        <v>13</v>
      </c>
      <c r="R9" s="29" t="str">
        <f>IFERROR(MID(RADataTable[[#This Row],[RAtemplate]],1,LEN(RADataTable[[#This Row],[RAtemplate]])-8),"RA") &amp; " " &amp; RADataTable[[#This Row],[prop_id0]] &amp; " " &amp; RADataTable[[#This Row],[last0]]</f>
        <v>RA 1755038 Majumdar</v>
      </c>
      <c r="U9" s="21" t="str">
        <f>IF(signer1="PD",IF(ISBLANK(RADataTable[[#This Row],[sign_blck_name]]),"",RADataTable[[#This Row],[sign_blck_name]]),IF(ISBLANK(signer1),"",signer1))</f>
        <v>Reid Simmons</v>
      </c>
      <c r="V9" s="29" t="str">
        <f>signer2</f>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ani.majumdar@princeton.edu</v>
      </c>
      <c r="Y9" s="15" t="str">
        <f>HYPERLINK("mailto:"&amp;RADataTable[[#This Row],[allPIemail]]&amp;"&amp;subject=NSF Proposal:  "&amp;RADataTable[[#This Row],[Div]]&amp;" "&amp;RADataTable[[#This Row],[prop_id0]], "PIs@")</f>
        <v>PIs@</v>
      </c>
      <c r="Z9" t="s">
        <v>2351</v>
      </c>
      <c r="AA9" t="s">
        <v>1820</v>
      </c>
      <c r="AB9">
        <v>7</v>
      </c>
      <c r="AC9">
        <v>7</v>
      </c>
      <c r="AD9"/>
      <c r="AE9" t="str">
        <f>IF(RADataTable[[#This Row],[maxScore]]-RADataTable[[#This Row],[minScore]]&gt;4,"Y","")</f>
        <v>Y</v>
      </c>
      <c r="AF9" s="21">
        <v>3</v>
      </c>
      <c r="AG9" s="26">
        <v>5.8571428571428568</v>
      </c>
      <c r="AH9">
        <v>8</v>
      </c>
      <c r="AI9" t="s">
        <v>2471</v>
      </c>
      <c r="AJ9" s="30">
        <v>43073.747916666667</v>
      </c>
      <c r="AK9" s="13">
        <v>175000</v>
      </c>
      <c r="AL9" s="13">
        <v>175000</v>
      </c>
      <c r="AM9">
        <v>0</v>
      </c>
      <c r="AN9" s="30">
        <v>42979</v>
      </c>
      <c r="AO9" s="21">
        <v>24</v>
      </c>
      <c r="AP9" s="21" t="s">
        <v>2472</v>
      </c>
      <c r="AS9" s="30"/>
      <c r="AT9" t="s">
        <v>619</v>
      </c>
      <c r="AU9" s="21" t="s">
        <v>365</v>
      </c>
      <c r="AV9" s="21">
        <v>9</v>
      </c>
      <c r="AW9" s="21" t="s">
        <v>852</v>
      </c>
      <c r="AX9" s="30">
        <v>43060</v>
      </c>
      <c r="AY9" s="21" t="s">
        <v>2583</v>
      </c>
      <c r="AZ9" s="21" t="s">
        <v>854</v>
      </c>
      <c r="BA9" s="21">
        <v>12</v>
      </c>
      <c r="BC9" s="21" t="s">
        <v>1824</v>
      </c>
      <c r="BD9" s="21" t="s">
        <v>245</v>
      </c>
      <c r="BE9" s="21">
        <v>1</v>
      </c>
      <c r="BF9" s="21" t="s">
        <v>2682</v>
      </c>
      <c r="BG9" s="30">
        <v>43074</v>
      </c>
      <c r="BH9" s="21" t="s">
        <v>2683</v>
      </c>
      <c r="BI9" s="21" t="s">
        <v>2684</v>
      </c>
      <c r="BJ9" s="21">
        <v>8</v>
      </c>
      <c r="BP9" s="30"/>
      <c r="BU9" t="s">
        <v>1820</v>
      </c>
      <c r="BV9" s="21" t="s">
        <v>1821</v>
      </c>
      <c r="BW9" s="21" t="s">
        <v>2470</v>
      </c>
      <c r="BX9" s="21" t="s">
        <v>2209</v>
      </c>
      <c r="BY9" s="31">
        <v>175000</v>
      </c>
      <c r="BZ9" s="31">
        <v>175000</v>
      </c>
      <c r="CA9" t="s">
        <v>2469</v>
      </c>
      <c r="CF9" s="31"/>
      <c r="CG9" s="31"/>
      <c r="CM9" s="31"/>
      <c r="CN9" s="31"/>
      <c r="CT9" s="31"/>
      <c r="CU9" s="31"/>
      <c r="CV9" s="31"/>
      <c r="DA9" s="31"/>
      <c r="DB9" s="31"/>
      <c r="DC9" s="31"/>
      <c r="DH9" s="31"/>
      <c r="DI9" s="31"/>
      <c r="DO9" s="31"/>
      <c r="DP9" s="31"/>
      <c r="DR9" t="s">
        <v>869</v>
      </c>
      <c r="DS9" t="s">
        <v>2624</v>
      </c>
      <c r="DT9" t="s">
        <v>904</v>
      </c>
      <c r="DU9" s="29" t="s">
        <v>2685</v>
      </c>
      <c r="DV9" t="s">
        <v>173</v>
      </c>
      <c r="DW9" t="s">
        <v>366</v>
      </c>
      <c r="DX9" t="s">
        <v>171</v>
      </c>
      <c r="DY9" t="s">
        <v>168</v>
      </c>
      <c r="DZ9" t="s">
        <v>169</v>
      </c>
      <c r="EA9" s="22">
        <v>43077.177256944444</v>
      </c>
      <c r="EB9" t="s">
        <v>2473</v>
      </c>
      <c r="EC9" t="s">
        <v>2686</v>
      </c>
    </row>
    <row r="10" spans="1:133">
      <c r="A10" s="30"/>
      <c r="B10" s="22">
        <v>42956.581944444442</v>
      </c>
      <c r="C10" s="22" t="s">
        <v>808</v>
      </c>
      <c r="D10" s="30" t="s">
        <v>741</v>
      </c>
      <c r="E10" s="30" t="s">
        <v>526</v>
      </c>
      <c r="F10" s="30" t="s">
        <v>170</v>
      </c>
      <c r="G10" s="30" t="s">
        <v>172</v>
      </c>
      <c r="H10" t="s">
        <v>94</v>
      </c>
      <c r="I10" t="s">
        <v>809</v>
      </c>
      <c r="J10" t="s">
        <v>1530</v>
      </c>
      <c r="L10">
        <v>1</v>
      </c>
      <c r="M10" s="26">
        <v>1.01</v>
      </c>
      <c r="N10" t="s">
        <v>243</v>
      </c>
      <c r="Q10" s="29" t="s">
        <v>13</v>
      </c>
      <c r="R10" s="29" t="str">
        <f>IFERROR(MID(RADataTable[[#This Row],[RAtemplate]],1,LEN(RADataTable[[#This Row],[RAtemplate]])-8),"RA") &amp; " " &amp; RADataTable[[#This Row],[prop_id0]] &amp; " " &amp; RADataTable[[#This Row],[last0]]</f>
        <v>RA 1755791 Goswami</v>
      </c>
      <c r="U10" s="21" t="str">
        <f>IF(signer1="PD",IF(ISBLANK(RADataTable[[#This Row],[sign_blck_name]]),"",RADataTable[[#This Row],[sign_blck_name]]),IF(ISBLANK(signer1),"",signer1))</f>
        <v>Rahul Shah</v>
      </c>
      <c r="V10" s="29" t="str">
        <f>signer2</f>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Mayank.Goswami@qc.cuny.edu</v>
      </c>
      <c r="Y10" s="15" t="str">
        <f>HYPERLINK("mailto:"&amp;RADataTable[[#This Row],[allPIemail]]&amp;"&amp;subject=NSF Proposal:  "&amp;RADataTable[[#This Row],[Div]]&amp;" "&amp;RADataTable[[#This Row],[prop_id0]], "PIs@")</f>
        <v>PIs@</v>
      </c>
      <c r="Z10" t="s">
        <v>742</v>
      </c>
      <c r="AA10" t="s">
        <v>1895</v>
      </c>
      <c r="AB10">
        <v>3</v>
      </c>
      <c r="AC10">
        <v>3</v>
      </c>
      <c r="AD10"/>
      <c r="AE10" t="str">
        <f>IF(RADataTable[[#This Row],[maxScore]]-RADataTable[[#This Row],[minScore]]&gt;4,"Y","")</f>
        <v/>
      </c>
      <c r="AF10" s="21">
        <v>7</v>
      </c>
      <c r="AG10" s="26">
        <v>7</v>
      </c>
      <c r="AH10">
        <v>7</v>
      </c>
      <c r="AI10" t="s">
        <v>2495</v>
      </c>
      <c r="AJ10" s="30">
        <v>43031.369444444441</v>
      </c>
      <c r="AK10" s="13">
        <v>175000</v>
      </c>
      <c r="AL10" s="13">
        <v>175000</v>
      </c>
      <c r="AM10">
        <v>0</v>
      </c>
      <c r="AN10" s="30">
        <v>43344</v>
      </c>
      <c r="AO10" s="21">
        <v>24</v>
      </c>
      <c r="AP10" s="21" t="s">
        <v>2496</v>
      </c>
      <c r="AS10" s="30"/>
      <c r="AT10" t="s">
        <v>544</v>
      </c>
      <c r="AU10" s="21" t="s">
        <v>245</v>
      </c>
      <c r="AV10" s="21">
        <v>1</v>
      </c>
      <c r="AW10" s="21" t="s">
        <v>839</v>
      </c>
      <c r="AX10" s="30">
        <v>43032</v>
      </c>
      <c r="AY10" s="21" t="s">
        <v>2697</v>
      </c>
      <c r="AZ10" s="21" t="s">
        <v>841</v>
      </c>
      <c r="BA10" s="21">
        <v>14</v>
      </c>
      <c r="BB10" s="21">
        <v>1</v>
      </c>
      <c r="BG10" s="30"/>
      <c r="BP10" s="30"/>
      <c r="BU10" t="s">
        <v>1895</v>
      </c>
      <c r="BV10" s="21" t="s">
        <v>1896</v>
      </c>
      <c r="BW10" s="21" t="s">
        <v>2493</v>
      </c>
      <c r="BX10" s="21" t="s">
        <v>2494</v>
      </c>
      <c r="BY10" s="31">
        <v>175000</v>
      </c>
      <c r="BZ10" s="31">
        <v>175000</v>
      </c>
      <c r="CA10" t="s">
        <v>810</v>
      </c>
      <c r="CF10" s="31"/>
      <c r="CG10" s="31"/>
      <c r="CM10" s="31"/>
      <c r="CN10" s="31"/>
      <c r="CT10" s="31"/>
      <c r="CU10" s="31"/>
      <c r="CV10" s="31"/>
      <c r="DA10" s="31"/>
      <c r="DB10" s="31"/>
      <c r="DC10" s="31"/>
      <c r="DH10" s="31"/>
      <c r="DI10" s="31"/>
      <c r="DO10" s="31"/>
      <c r="DP10" s="31"/>
      <c r="DR10" t="s">
        <v>869</v>
      </c>
      <c r="DS10" t="s">
        <v>837</v>
      </c>
      <c r="DT10" t="s">
        <v>527</v>
      </c>
      <c r="DU10" s="29" t="s">
        <v>2627</v>
      </c>
      <c r="DV10" t="s">
        <v>173</v>
      </c>
      <c r="DW10" t="s">
        <v>366</v>
      </c>
      <c r="DX10" t="s">
        <v>171</v>
      </c>
      <c r="DY10" t="s">
        <v>168</v>
      </c>
      <c r="DZ10" t="s">
        <v>169</v>
      </c>
      <c r="EA10" s="22">
        <v>43077.177256944444</v>
      </c>
      <c r="EB10" t="s">
        <v>2497</v>
      </c>
      <c r="EC10" t="s">
        <v>2698</v>
      </c>
    </row>
    <row r="11" spans="1:133">
      <c r="A11" s="30"/>
      <c r="B11" s="22">
        <v>42956.678472222222</v>
      </c>
      <c r="C11" s="22" t="s">
        <v>808</v>
      </c>
      <c r="D11" s="30" t="s">
        <v>741</v>
      </c>
      <c r="E11" s="30" t="s">
        <v>526</v>
      </c>
      <c r="F11" s="30" t="s">
        <v>170</v>
      </c>
      <c r="G11" s="30" t="s">
        <v>172</v>
      </c>
      <c r="H11" t="s">
        <v>94</v>
      </c>
      <c r="I11" t="s">
        <v>809</v>
      </c>
      <c r="J11" t="s">
        <v>543</v>
      </c>
      <c r="L11">
        <v>1</v>
      </c>
      <c r="M11" s="26">
        <v>1.01</v>
      </c>
      <c r="N11" t="s">
        <v>243</v>
      </c>
      <c r="Q11" s="29" t="s">
        <v>13</v>
      </c>
      <c r="R11" s="29" t="str">
        <f>IFERROR(MID(RADataTable[[#This Row],[RAtemplate]],1,LEN(RADataTable[[#This Row],[RAtemplate]])-8),"RA") &amp; " " &amp; RADataTable[[#This Row],[prop_id0]] &amp; " " &amp; RADataTable[[#This Row],[last0]]</f>
        <v>RA 1755921 Forbes</v>
      </c>
      <c r="U11" s="21" t="str">
        <f>IF(signer1="PD",IF(ISBLANK(RADataTable[[#This Row],[sign_blck_name]]),"",RADataTable[[#This Row],[sign_blck_name]]),IF(ISBLANK(signer1),"",signer1))</f>
        <v>Tracy J. Kimbrel</v>
      </c>
      <c r="V11" s="29" t="str">
        <f>signer2</f>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miforbes@illinois.edu</v>
      </c>
      <c r="Y11" s="15" t="str">
        <f>HYPERLINK("mailto:"&amp;RADataTable[[#This Row],[allPIemail]]&amp;"&amp;subject=NSF Proposal:  "&amp;RADataTable[[#This Row],[Div]]&amp;" "&amp;RADataTable[[#This Row],[prop_id0]], "PIs@")</f>
        <v>PIs@</v>
      </c>
      <c r="Z11" t="s">
        <v>742</v>
      </c>
      <c r="AA11" t="s">
        <v>1938</v>
      </c>
      <c r="AB11">
        <v>3</v>
      </c>
      <c r="AC11">
        <v>3</v>
      </c>
      <c r="AD11"/>
      <c r="AE11" t="str">
        <f>IF(RADataTable[[#This Row],[maxScore]]-RADataTable[[#This Row],[minScore]]&gt;4,"Y","")</f>
        <v/>
      </c>
      <c r="AF11" s="21">
        <v>8</v>
      </c>
      <c r="AG11" s="26">
        <v>8.6666666666666661</v>
      </c>
      <c r="AH11">
        <v>9</v>
      </c>
      <c r="AI11" t="s">
        <v>2258</v>
      </c>
      <c r="AJ11" s="30">
        <v>43060.395833333336</v>
      </c>
      <c r="AK11" s="13">
        <v>175000</v>
      </c>
      <c r="AL11" s="13">
        <v>175000</v>
      </c>
      <c r="AM11">
        <v>0</v>
      </c>
      <c r="AN11" s="30">
        <v>43101</v>
      </c>
      <c r="AO11" s="21">
        <v>24</v>
      </c>
      <c r="AP11" s="21" t="s">
        <v>2506</v>
      </c>
      <c r="AS11" s="30"/>
      <c r="AT11" t="s">
        <v>619</v>
      </c>
      <c r="AU11" s="21" t="s">
        <v>245</v>
      </c>
      <c r="AV11" s="21">
        <v>1</v>
      </c>
      <c r="AW11" s="21" t="s">
        <v>852</v>
      </c>
      <c r="AX11" s="30">
        <v>43060</v>
      </c>
      <c r="AY11" s="21" t="s">
        <v>2590</v>
      </c>
      <c r="AZ11" s="21" t="s">
        <v>854</v>
      </c>
      <c r="BA11" s="21">
        <v>12</v>
      </c>
      <c r="BG11" s="30"/>
      <c r="BP11" s="30"/>
      <c r="BU11" t="s">
        <v>1938</v>
      </c>
      <c r="BV11" s="21" t="s">
        <v>1939</v>
      </c>
      <c r="BW11" s="21" t="s">
        <v>1969</v>
      </c>
      <c r="BX11" s="21" t="s">
        <v>339</v>
      </c>
      <c r="BY11" s="31">
        <v>175000</v>
      </c>
      <c r="BZ11" s="31">
        <v>175000</v>
      </c>
      <c r="CA11" t="s">
        <v>2505</v>
      </c>
      <c r="CF11" s="31"/>
      <c r="CG11" s="31"/>
      <c r="CM11" s="31"/>
      <c r="CN11" s="31"/>
      <c r="CT11" s="31"/>
      <c r="CU11" s="31"/>
      <c r="CV11" s="31"/>
      <c r="DA11" s="31"/>
      <c r="DB11" s="31"/>
      <c r="DC11" s="31"/>
      <c r="DH11" s="31"/>
      <c r="DI11" s="31"/>
      <c r="DO11" s="31"/>
      <c r="DP11" s="31"/>
      <c r="DR11" t="s">
        <v>869</v>
      </c>
      <c r="DS11" t="s">
        <v>837</v>
      </c>
      <c r="DT11" t="s">
        <v>527</v>
      </c>
      <c r="DU11" s="29" t="s">
        <v>850</v>
      </c>
      <c r="DV11" t="s">
        <v>173</v>
      </c>
      <c r="DW11" t="s">
        <v>366</v>
      </c>
      <c r="DX11" t="s">
        <v>171</v>
      </c>
      <c r="DY11" t="s">
        <v>168</v>
      </c>
      <c r="DZ11" t="s">
        <v>169</v>
      </c>
      <c r="EA11" s="22">
        <v>43077.177256944444</v>
      </c>
      <c r="EB11" t="s">
        <v>2507</v>
      </c>
      <c r="EC11" t="s">
        <v>2705</v>
      </c>
    </row>
    <row r="12" spans="1:133">
      <c r="A12" s="30">
        <v>42930.63244212963</v>
      </c>
      <c r="B12" s="22">
        <v>42807.490277777775</v>
      </c>
      <c r="C12" s="22" t="s">
        <v>1965</v>
      </c>
      <c r="D12" s="30" t="s">
        <v>741</v>
      </c>
      <c r="E12" s="30" t="s">
        <v>901</v>
      </c>
      <c r="F12" s="30" t="s">
        <v>170</v>
      </c>
      <c r="G12" s="30" t="s">
        <v>1974</v>
      </c>
      <c r="H12" t="s">
        <v>94</v>
      </c>
      <c r="I12" t="s">
        <v>1967</v>
      </c>
      <c r="J12" t="s">
        <v>948</v>
      </c>
      <c r="K12" s="22">
        <v>42929.447754629633</v>
      </c>
      <c r="L12">
        <v>1</v>
      </c>
      <c r="M12" s="26">
        <v>1.02</v>
      </c>
      <c r="N12" t="s">
        <v>946</v>
      </c>
      <c r="Q12" s="29" t="s">
        <v>13</v>
      </c>
      <c r="R12" s="29" t="str">
        <f>IFERROR(MID(RADataTable[[#This Row],[RAtemplate]],1,LEN(RADataTable[[#This Row],[RAtemplate]])-8),"RA") &amp; " " &amp; RADataTable[[#This Row],[prop_id0]] &amp; " " &amp; RADataTable[[#This Row],[last0]]</f>
        <v>RA 1740551 Kakade</v>
      </c>
      <c r="U12" s="21" t="str">
        <f>IF(signer1="PD",IF(ISBLANK(RADataTable[[#This Row],[sign_blck_name]]),"",RADataTable[[#This Row],[sign_blck_name]]),IF(ISBLANK(signer1),"",signer1))</f>
        <v>Christopher W. Stark</v>
      </c>
      <c r="V12" s="29" t="str">
        <f>signer2</f>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sham@cs.washington.edu</v>
      </c>
      <c r="Y12" s="15" t="str">
        <f>HYPERLINK("mailto:"&amp;RADataTable[[#This Row],[allPIemail]]&amp;"&amp;subject=NSF Proposal:  "&amp;RADataTable[[#This Row],[Div]]&amp;" "&amp;RADataTable[[#This Row],[prop_id0]], "PIs@")</f>
        <v>PIs@</v>
      </c>
      <c r="Z12" t="s">
        <v>742</v>
      </c>
      <c r="AA12" t="s">
        <v>940</v>
      </c>
      <c r="AB12">
        <v>3</v>
      </c>
      <c r="AD12"/>
      <c r="AE12" t="str">
        <f>IF(RADataTable[[#This Row],[maxScore]]-RADataTable[[#This Row],[minScore]]&gt;4,"Y","")</f>
        <v/>
      </c>
      <c r="AF12" s="21">
        <v>7</v>
      </c>
      <c r="AG12" s="26">
        <v>7.333333333333333</v>
      </c>
      <c r="AH12">
        <v>8</v>
      </c>
      <c r="AI12" t="s">
        <v>1976</v>
      </c>
      <c r="AJ12" s="30">
        <v>42878.486111111109</v>
      </c>
      <c r="AK12" s="13">
        <v>1500000</v>
      </c>
      <c r="AL12" s="13">
        <v>1500000</v>
      </c>
      <c r="AM12">
        <v>0</v>
      </c>
      <c r="AN12" s="30">
        <v>42994</v>
      </c>
      <c r="AO12" s="21">
        <v>36</v>
      </c>
      <c r="AP12" s="21" t="s">
        <v>1978</v>
      </c>
      <c r="AS12" s="30"/>
      <c r="AT12" t="s">
        <v>943</v>
      </c>
      <c r="AU12" s="21" t="s">
        <v>945</v>
      </c>
      <c r="AV12" s="21">
        <v>2</v>
      </c>
      <c r="AW12" s="21" t="s">
        <v>2521</v>
      </c>
      <c r="AX12" s="30">
        <v>42878</v>
      </c>
      <c r="AY12" s="21" t="s">
        <v>2522</v>
      </c>
      <c r="AZ12" s="21" t="s">
        <v>2523</v>
      </c>
      <c r="BA12" s="21">
        <v>12</v>
      </c>
      <c r="BB12" s="21">
        <v>1</v>
      </c>
      <c r="BG12" s="30"/>
      <c r="BP12" s="30"/>
      <c r="BU12" t="s">
        <v>940</v>
      </c>
      <c r="BV12" s="21" t="s">
        <v>941</v>
      </c>
      <c r="BW12" s="21" t="s">
        <v>1975</v>
      </c>
      <c r="BX12" s="21" t="s">
        <v>244</v>
      </c>
      <c r="BY12" s="31">
        <v>1500000</v>
      </c>
      <c r="BZ12" s="31">
        <v>1500000</v>
      </c>
      <c r="CA12" t="s">
        <v>1968</v>
      </c>
      <c r="CF12" s="31"/>
      <c r="CG12" s="31"/>
      <c r="CM12" s="31"/>
      <c r="CN12" s="31"/>
      <c r="CT12" s="31"/>
      <c r="CU12" s="31"/>
      <c r="CV12" s="31"/>
      <c r="DA12" s="31"/>
      <c r="DB12" s="31"/>
      <c r="DC12" s="31"/>
      <c r="DH12" s="31"/>
      <c r="DI12" s="31"/>
      <c r="DO12" s="31"/>
      <c r="DP12" s="31"/>
      <c r="DR12" t="s">
        <v>2519</v>
      </c>
      <c r="DS12" t="s">
        <v>837</v>
      </c>
      <c r="DT12" t="s">
        <v>902</v>
      </c>
      <c r="DU12" s="29" t="s">
        <v>2524</v>
      </c>
      <c r="DV12" t="s">
        <v>1977</v>
      </c>
      <c r="DW12" t="s">
        <v>366</v>
      </c>
      <c r="DX12" t="s">
        <v>171</v>
      </c>
      <c r="DY12" t="s">
        <v>168</v>
      </c>
      <c r="DZ12" t="s">
        <v>169</v>
      </c>
      <c r="EA12" s="22">
        <v>43077.177256944444</v>
      </c>
      <c r="EB12" t="s">
        <v>1979</v>
      </c>
      <c r="EC12" t="s">
        <v>2525</v>
      </c>
    </row>
    <row r="13" spans="1:133">
      <c r="A13" s="30">
        <v>42930.561608796299</v>
      </c>
      <c r="B13" s="22">
        <v>42809.702777777777</v>
      </c>
      <c r="C13" s="22" t="s">
        <v>1965</v>
      </c>
      <c r="D13" s="30" t="s">
        <v>741</v>
      </c>
      <c r="E13" s="30" t="s">
        <v>901</v>
      </c>
      <c r="F13" s="30" t="s">
        <v>170</v>
      </c>
      <c r="G13" s="30" t="s">
        <v>1974</v>
      </c>
      <c r="H13" t="s">
        <v>94</v>
      </c>
      <c r="I13" t="s">
        <v>1967</v>
      </c>
      <c r="J13" t="s">
        <v>942</v>
      </c>
      <c r="K13" s="22">
        <v>42929.336412037039</v>
      </c>
      <c r="L13">
        <v>1</v>
      </c>
      <c r="M13" s="26">
        <v>1.02</v>
      </c>
      <c r="N13" t="s">
        <v>946</v>
      </c>
      <c r="Q13" s="29" t="s">
        <v>13</v>
      </c>
      <c r="R13" s="29" t="str">
        <f>IFERROR(MID(RADataTable[[#This Row],[RAtemplate]],1,LEN(RADataTable[[#This Row],[RAtemplate]])-8),"RA") &amp; " " &amp; RADataTable[[#This Row],[prop_id0]] &amp; " " &amp; RADataTable[[#This Row],[last0]]</f>
        <v>RA 1740833 Wright</v>
      </c>
      <c r="U13" s="21" t="str">
        <f>IF(signer1="PD",IF(ISBLANK(RADataTable[[#This Row],[sign_blck_name]]),"",RADataTable[[#This Row],[sign_blck_name]]),IF(ISBLANK(signer1),"",signer1))</f>
        <v>Nandini Kannan</v>
      </c>
      <c r="V13" s="29" t="str">
        <f>signer2</f>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jw2966@columbia.edu</v>
      </c>
      <c r="Y13" s="15" t="str">
        <f>HYPERLINK("mailto:"&amp;RADataTable[[#This Row],[allPIemail]]&amp;"&amp;subject=NSF Proposal:  "&amp;RADataTable[[#This Row],[Div]]&amp;" "&amp;RADataTable[[#This Row],[prop_id0]], "PIs@")</f>
        <v>PIs@</v>
      </c>
      <c r="Z13" t="s">
        <v>742</v>
      </c>
      <c r="AA13" t="s">
        <v>1372</v>
      </c>
      <c r="AB13">
        <v>3</v>
      </c>
      <c r="AD13"/>
      <c r="AE13" t="str">
        <f>IF(RADataTable[[#This Row],[maxScore]]-RADataTable[[#This Row],[minScore]]&gt;4,"Y","")</f>
        <v/>
      </c>
      <c r="AF13" s="21">
        <v>5</v>
      </c>
      <c r="AG13" s="26">
        <v>7</v>
      </c>
      <c r="AH13">
        <v>8</v>
      </c>
      <c r="AI13" t="s">
        <v>2279</v>
      </c>
      <c r="AJ13" s="30">
        <v>42872.532638888886</v>
      </c>
      <c r="AK13" s="13">
        <v>1500000</v>
      </c>
      <c r="AL13" s="13">
        <v>1500000</v>
      </c>
      <c r="AM13">
        <v>0</v>
      </c>
      <c r="AN13" s="30">
        <v>42979</v>
      </c>
      <c r="AO13" s="21">
        <v>36</v>
      </c>
      <c r="AP13" s="21" t="s">
        <v>2280</v>
      </c>
      <c r="AS13" s="30"/>
      <c r="AT13" t="s">
        <v>919</v>
      </c>
      <c r="AU13" s="21" t="s">
        <v>945</v>
      </c>
      <c r="AV13" s="21">
        <v>2</v>
      </c>
      <c r="AW13" s="21" t="s">
        <v>2517</v>
      </c>
      <c r="AX13" s="30">
        <v>42872</v>
      </c>
      <c r="AY13" s="21" t="s">
        <v>2599</v>
      </c>
      <c r="AZ13" s="21" t="s">
        <v>2518</v>
      </c>
      <c r="BA13" s="21">
        <v>12</v>
      </c>
      <c r="BG13" s="30"/>
      <c r="BP13" s="30"/>
      <c r="BU13" t="s">
        <v>1372</v>
      </c>
      <c r="BV13" s="21" t="s">
        <v>1053</v>
      </c>
      <c r="BW13" s="21" t="s">
        <v>2095</v>
      </c>
      <c r="BX13" s="21" t="s">
        <v>2101</v>
      </c>
      <c r="BY13" s="31">
        <v>1500000</v>
      </c>
      <c r="BZ13" s="31">
        <v>1500000</v>
      </c>
      <c r="CA13" t="s">
        <v>1968</v>
      </c>
      <c r="CF13" s="31"/>
      <c r="CG13" s="31"/>
      <c r="CM13" s="31"/>
      <c r="CN13" s="31"/>
      <c r="CT13" s="31"/>
      <c r="CU13" s="31"/>
      <c r="CV13" s="31"/>
      <c r="DA13" s="31"/>
      <c r="DB13" s="31"/>
      <c r="DC13" s="31"/>
      <c r="DH13" s="31"/>
      <c r="DI13" s="31"/>
      <c r="DO13" s="31"/>
      <c r="DP13" s="31"/>
      <c r="DR13" t="s">
        <v>2519</v>
      </c>
      <c r="DS13" t="s">
        <v>837</v>
      </c>
      <c r="DT13" t="s">
        <v>902</v>
      </c>
      <c r="DU13" s="29" t="s">
        <v>2531</v>
      </c>
      <c r="DV13" t="s">
        <v>1977</v>
      </c>
      <c r="DW13" t="s">
        <v>366</v>
      </c>
      <c r="DX13" t="s">
        <v>171</v>
      </c>
      <c r="DY13" t="s">
        <v>168</v>
      </c>
      <c r="DZ13" t="s">
        <v>169</v>
      </c>
      <c r="EA13" s="22">
        <v>43077.177256944444</v>
      </c>
      <c r="EB13" t="s">
        <v>2281</v>
      </c>
      <c r="EC13" t="s">
        <v>2600</v>
      </c>
    </row>
    <row r="14" spans="1:133">
      <c r="A14" s="30"/>
      <c r="B14" s="22">
        <v>42935.599305555559</v>
      </c>
      <c r="C14" s="22" t="s">
        <v>242</v>
      </c>
      <c r="D14" s="30" t="s">
        <v>741</v>
      </c>
      <c r="E14" s="30" t="s">
        <v>528</v>
      </c>
      <c r="F14" s="30" t="s">
        <v>170</v>
      </c>
      <c r="G14" s="30" t="s">
        <v>172</v>
      </c>
      <c r="H14" t="s">
        <v>94</v>
      </c>
      <c r="I14" t="s">
        <v>743</v>
      </c>
      <c r="J14" t="s">
        <v>543</v>
      </c>
      <c r="L14">
        <v>1</v>
      </c>
      <c r="M14" s="26">
        <v>1.02</v>
      </c>
      <c r="N14" t="s">
        <v>243</v>
      </c>
      <c r="Q14" s="29" t="s">
        <v>13</v>
      </c>
      <c r="R14" s="29" t="str">
        <f>IFERROR(MID(RADataTable[[#This Row],[RAtemplate]],1,LEN(RADataTable[[#This Row],[RAtemplate]])-8),"RA") &amp; " " &amp; RADataTable[[#This Row],[prop_id0]] &amp; " " &amp; RADataTable[[#This Row],[last0]]</f>
        <v>RA 1750640 Ullman</v>
      </c>
      <c r="U14" s="21" t="str">
        <f>IF(signer1="PD",IF(ISBLANK(RADataTable[[#This Row],[sign_blck_name]]),"",RADataTable[[#This Row],[sign_blck_name]]),IF(ISBLANK(signer1),"",signer1))</f>
        <v>Tracy J. Kimbrel</v>
      </c>
      <c r="V14" s="29" t="str">
        <f>signer2</f>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jullman@ccs.neu.edu</v>
      </c>
      <c r="Y14" s="15" t="str">
        <f>HYPERLINK("mailto:"&amp;RADataTable[[#This Row],[allPIemail]]&amp;"&amp;subject=NSF Proposal:  "&amp;RADataTable[[#This Row],[Div]]&amp;" "&amp;RADataTable[[#This Row],[prop_id0]], "PIs@")</f>
        <v>PIs@</v>
      </c>
      <c r="Z14" t="s">
        <v>742</v>
      </c>
      <c r="AA14" t="s">
        <v>1713</v>
      </c>
      <c r="AB14">
        <v>4</v>
      </c>
      <c r="AC14">
        <v>4</v>
      </c>
      <c r="AD14"/>
      <c r="AE14" t="str">
        <f>IF(RADataTable[[#This Row],[maxScore]]-RADataTable[[#This Row],[minScore]]&gt;4,"Y","")</f>
        <v/>
      </c>
      <c r="AF14" s="21">
        <v>8</v>
      </c>
      <c r="AG14" s="26">
        <v>8.5</v>
      </c>
      <c r="AH14">
        <v>9</v>
      </c>
      <c r="AI14" t="s">
        <v>2418</v>
      </c>
      <c r="AJ14" s="30">
        <v>43059.227083333331</v>
      </c>
      <c r="AK14" s="13">
        <v>545883</v>
      </c>
      <c r="AL14" s="13">
        <v>545883</v>
      </c>
      <c r="AM14">
        <v>0</v>
      </c>
      <c r="AN14" s="30">
        <v>43282</v>
      </c>
      <c r="AO14" s="21">
        <v>60</v>
      </c>
      <c r="AP14" s="21" t="s">
        <v>2419</v>
      </c>
      <c r="AS14" s="30"/>
      <c r="AT14" t="s">
        <v>619</v>
      </c>
      <c r="AU14" s="21" t="s">
        <v>245</v>
      </c>
      <c r="AV14" s="21">
        <v>2</v>
      </c>
      <c r="AW14" s="21" t="s">
        <v>852</v>
      </c>
      <c r="AX14" s="30">
        <v>43060</v>
      </c>
      <c r="AY14" s="21" t="s">
        <v>2661</v>
      </c>
      <c r="AZ14" s="21" t="s">
        <v>854</v>
      </c>
      <c r="BA14" s="21">
        <v>12</v>
      </c>
      <c r="BG14" s="30"/>
      <c r="BP14" s="30"/>
      <c r="BU14" t="s">
        <v>1713</v>
      </c>
      <c r="BV14" s="21" t="s">
        <v>1714</v>
      </c>
      <c r="BW14" s="21" t="s">
        <v>2416</v>
      </c>
      <c r="BX14" s="21" t="s">
        <v>2417</v>
      </c>
      <c r="BY14" s="31">
        <v>545883</v>
      </c>
      <c r="BZ14" s="31">
        <v>545883</v>
      </c>
      <c r="CA14" t="s">
        <v>744</v>
      </c>
      <c r="CF14" s="31"/>
      <c r="CG14" s="31"/>
      <c r="CM14" s="31"/>
      <c r="CN14" s="31"/>
      <c r="CT14" s="31"/>
      <c r="CU14" s="31"/>
      <c r="CV14" s="31"/>
      <c r="DA14" s="31"/>
      <c r="DB14" s="31"/>
      <c r="DC14" s="31"/>
      <c r="DH14" s="31"/>
      <c r="DI14" s="31"/>
      <c r="DO14" s="31"/>
      <c r="DP14" s="31"/>
      <c r="DR14" t="s">
        <v>246</v>
      </c>
      <c r="DS14" t="s">
        <v>837</v>
      </c>
      <c r="DT14" t="s">
        <v>529</v>
      </c>
      <c r="DU14" s="29" t="s">
        <v>850</v>
      </c>
      <c r="DV14" t="s">
        <v>173</v>
      </c>
      <c r="DW14" t="s">
        <v>366</v>
      </c>
      <c r="DX14" t="s">
        <v>171</v>
      </c>
      <c r="DY14" t="s">
        <v>168</v>
      </c>
      <c r="DZ14" t="s">
        <v>169</v>
      </c>
      <c r="EA14" s="22">
        <v>43077.177256944444</v>
      </c>
      <c r="EB14" t="s">
        <v>2420</v>
      </c>
      <c r="EC14" t="s">
        <v>2662</v>
      </c>
    </row>
    <row r="15" spans="1:133">
      <c r="A15" s="30"/>
      <c r="B15" s="22">
        <v>42935.620138888888</v>
      </c>
      <c r="C15" s="22" t="s">
        <v>242</v>
      </c>
      <c r="D15" s="30" t="s">
        <v>741</v>
      </c>
      <c r="E15" s="30" t="s">
        <v>528</v>
      </c>
      <c r="F15" s="30" t="s">
        <v>170</v>
      </c>
      <c r="G15" s="30" t="s">
        <v>172</v>
      </c>
      <c r="H15" t="s">
        <v>94</v>
      </c>
      <c r="I15" t="s">
        <v>743</v>
      </c>
      <c r="J15" t="s">
        <v>1530</v>
      </c>
      <c r="L15">
        <v>1</v>
      </c>
      <c r="M15" s="26">
        <v>1.02</v>
      </c>
      <c r="N15" t="s">
        <v>243</v>
      </c>
      <c r="Q15" s="29" t="s">
        <v>13</v>
      </c>
      <c r="R15" s="29" t="str">
        <f>IFERROR(MID(RADataTable[[#This Row],[RAtemplate]],1,LEN(RADataTable[[#This Row],[RAtemplate]])-8),"RA") &amp; " " &amp; RADataTable[[#This Row],[prop_id0]] &amp; " " &amp; RADataTable[[#This Row],[last0]]</f>
        <v>RA 1750716 Nguyen</v>
      </c>
      <c r="U15" s="21" t="str">
        <f>IF(signer1="PD",IF(ISBLANK(RADataTable[[#This Row],[sign_blck_name]]),"",RADataTable[[#This Row],[sign_blck_name]]),IF(ISBLANK(signer1),"",signer1))</f>
        <v>Rahul Shah</v>
      </c>
      <c r="V15" s="29" t="str">
        <f>signer2</f>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hu.nguyen@neu.edu</v>
      </c>
      <c r="Y15" s="15" t="str">
        <f>HYPERLINK("mailto:"&amp;RADataTable[[#This Row],[allPIemail]]&amp;"&amp;subject=NSF Proposal:  "&amp;RADataTable[[#This Row],[Div]]&amp;" "&amp;RADataTable[[#This Row],[prop_id0]], "PIs@")</f>
        <v>PIs@</v>
      </c>
      <c r="Z15" t="s">
        <v>742</v>
      </c>
      <c r="AA15" t="s">
        <v>1729</v>
      </c>
      <c r="AB15">
        <v>4</v>
      </c>
      <c r="AC15">
        <v>4</v>
      </c>
      <c r="AD15"/>
      <c r="AE15" t="str">
        <f>IF(RADataTable[[#This Row],[maxScore]]-RADataTable[[#This Row],[minScore]]&gt;4,"Y","")</f>
        <v/>
      </c>
      <c r="AF15" s="21">
        <v>6</v>
      </c>
      <c r="AG15" s="26">
        <v>7.5</v>
      </c>
      <c r="AH15">
        <v>9</v>
      </c>
      <c r="AI15" t="s">
        <v>2426</v>
      </c>
      <c r="AJ15" s="30">
        <v>43059.929166666669</v>
      </c>
      <c r="AK15" s="13">
        <v>551453</v>
      </c>
      <c r="AL15" s="13">
        <v>551453</v>
      </c>
      <c r="AM15">
        <v>0</v>
      </c>
      <c r="AN15" s="30">
        <v>43252</v>
      </c>
      <c r="AO15" s="21">
        <v>60</v>
      </c>
      <c r="AP15" s="21" t="s">
        <v>2427</v>
      </c>
      <c r="AS15" s="30"/>
      <c r="AT15" t="s">
        <v>619</v>
      </c>
      <c r="AU15" s="21" t="s">
        <v>245</v>
      </c>
      <c r="AV15" s="21">
        <v>2</v>
      </c>
      <c r="AW15" s="21" t="s">
        <v>852</v>
      </c>
      <c r="AX15" s="30">
        <v>43060</v>
      </c>
      <c r="AY15" s="21" t="s">
        <v>2665</v>
      </c>
      <c r="AZ15" s="21" t="s">
        <v>854</v>
      </c>
      <c r="BA15" s="21">
        <v>12</v>
      </c>
      <c r="BG15" s="30"/>
      <c r="BP15" s="30"/>
      <c r="BU15" t="s">
        <v>1729</v>
      </c>
      <c r="BV15" s="21" t="s">
        <v>1730</v>
      </c>
      <c r="BW15" s="21" t="s">
        <v>2425</v>
      </c>
      <c r="BX15" s="21" t="s">
        <v>2417</v>
      </c>
      <c r="BY15" s="31">
        <v>551453</v>
      </c>
      <c r="BZ15" s="31">
        <v>551453</v>
      </c>
      <c r="CA15" t="s">
        <v>744</v>
      </c>
      <c r="CF15" s="31"/>
      <c r="CG15" s="31"/>
      <c r="CM15" s="31"/>
      <c r="CN15" s="31"/>
      <c r="CT15" s="31"/>
      <c r="CU15" s="31"/>
      <c r="CV15" s="31"/>
      <c r="DA15" s="31"/>
      <c r="DB15" s="31"/>
      <c r="DC15" s="31"/>
      <c r="DH15" s="31"/>
      <c r="DI15" s="31"/>
      <c r="DO15" s="31"/>
      <c r="DP15" s="31"/>
      <c r="DR15" t="s">
        <v>246</v>
      </c>
      <c r="DS15" t="s">
        <v>837</v>
      </c>
      <c r="DT15" t="s">
        <v>529</v>
      </c>
      <c r="DU15" s="29" t="s">
        <v>2627</v>
      </c>
      <c r="DV15" t="s">
        <v>173</v>
      </c>
      <c r="DW15" t="s">
        <v>366</v>
      </c>
      <c r="DX15" t="s">
        <v>171</v>
      </c>
      <c r="DY15" t="s">
        <v>168</v>
      </c>
      <c r="DZ15" t="s">
        <v>169</v>
      </c>
      <c r="EA15" s="22">
        <v>43077.177256944444</v>
      </c>
      <c r="EB15" t="s">
        <v>2428</v>
      </c>
      <c r="EC15" t="s">
        <v>2666</v>
      </c>
    </row>
    <row r="16" spans="1:133">
      <c r="A16" s="30"/>
      <c r="B16" s="22">
        <v>42955.700694444444</v>
      </c>
      <c r="C16" s="22" t="s">
        <v>808</v>
      </c>
      <c r="D16" s="30" t="s">
        <v>741</v>
      </c>
      <c r="E16" s="30" t="s">
        <v>526</v>
      </c>
      <c r="F16" s="30" t="s">
        <v>170</v>
      </c>
      <c r="G16" s="30" t="s">
        <v>172</v>
      </c>
      <c r="H16" t="s">
        <v>94</v>
      </c>
      <c r="I16" t="s">
        <v>809</v>
      </c>
      <c r="J16" t="s">
        <v>543</v>
      </c>
      <c r="L16">
        <v>1</v>
      </c>
      <c r="M16" s="26">
        <v>1.02</v>
      </c>
      <c r="N16" t="s">
        <v>243</v>
      </c>
      <c r="Q16" s="29" t="s">
        <v>13</v>
      </c>
      <c r="R16" s="29" t="str">
        <f>IFERROR(MID(RADataTable[[#This Row],[RAtemplate]],1,LEN(RADataTable[[#This Row],[RAtemplate]])-8),"RA") &amp; " " &amp; RADataTable[[#This Row],[prop_id0]] &amp; " " &amp; RADataTable[[#This Row],[last0]]</f>
        <v>RA 1755619 Garg</v>
      </c>
      <c r="U16" s="21" t="str">
        <f>IF(signer1="PD",IF(ISBLANK(RADataTable[[#This Row],[sign_blck_name]]),"",RADataTable[[#This Row],[sign_blck_name]]),IF(ISBLANK(signer1),"",signer1))</f>
        <v>Tracy J. Kimbrel</v>
      </c>
      <c r="V16" s="29" t="str">
        <f>signer2</f>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jugal@illinois.edu</v>
      </c>
      <c r="Y16" s="15" t="str">
        <f>HYPERLINK("mailto:"&amp;RADataTable[[#This Row],[allPIemail]]&amp;"&amp;subject=NSF Proposal:  "&amp;RADataTable[[#This Row],[Div]]&amp;" "&amp;RADataTable[[#This Row],[prop_id0]], "PIs@")</f>
        <v>PIs@</v>
      </c>
      <c r="Z16" t="s">
        <v>742</v>
      </c>
      <c r="AA16" t="s">
        <v>1868</v>
      </c>
      <c r="AB16">
        <v>3</v>
      </c>
      <c r="AC16">
        <v>3</v>
      </c>
      <c r="AD16"/>
      <c r="AE16" t="str">
        <f>IF(RADataTable[[#This Row],[maxScore]]-RADataTable[[#This Row],[minScore]]&gt;4,"Y","")</f>
        <v/>
      </c>
      <c r="AF16" s="21">
        <v>7</v>
      </c>
      <c r="AG16" s="26">
        <v>7.333333333333333</v>
      </c>
      <c r="AH16">
        <v>8</v>
      </c>
      <c r="AI16" t="s">
        <v>1976</v>
      </c>
      <c r="AJ16" s="30">
        <v>43059.534722222219</v>
      </c>
      <c r="AK16" s="13">
        <v>175000</v>
      </c>
      <c r="AL16" s="13">
        <v>175000</v>
      </c>
      <c r="AM16">
        <v>0</v>
      </c>
      <c r="AN16" s="30">
        <v>43146</v>
      </c>
      <c r="AO16" s="21">
        <v>24</v>
      </c>
      <c r="AP16" s="21" t="s">
        <v>2487</v>
      </c>
      <c r="AS16" s="30"/>
      <c r="AT16" t="s">
        <v>619</v>
      </c>
      <c r="AU16" s="21" t="s">
        <v>245</v>
      </c>
      <c r="AV16" s="21">
        <v>2</v>
      </c>
      <c r="AW16" s="21" t="s">
        <v>852</v>
      </c>
      <c r="AX16" s="30">
        <v>43060</v>
      </c>
      <c r="AY16" s="21" t="s">
        <v>2522</v>
      </c>
      <c r="AZ16" s="21" t="s">
        <v>854</v>
      </c>
      <c r="BA16" s="21">
        <v>12</v>
      </c>
      <c r="BG16" s="30"/>
      <c r="BP16" s="30"/>
      <c r="BU16" t="s">
        <v>1868</v>
      </c>
      <c r="BV16" s="21" t="s">
        <v>1734</v>
      </c>
      <c r="BW16" s="21" t="s">
        <v>2486</v>
      </c>
      <c r="BX16" s="21" t="s">
        <v>339</v>
      </c>
      <c r="BY16" s="31">
        <v>175000</v>
      </c>
      <c r="BZ16" s="31">
        <v>175000</v>
      </c>
      <c r="CA16" t="s">
        <v>2485</v>
      </c>
      <c r="CF16" s="31"/>
      <c r="CG16" s="31"/>
      <c r="CM16" s="31"/>
      <c r="CN16" s="31"/>
      <c r="CT16" s="31"/>
      <c r="CU16" s="31"/>
      <c r="CV16" s="31"/>
      <c r="DA16" s="31"/>
      <c r="DB16" s="31"/>
      <c r="DC16" s="31"/>
      <c r="DH16" s="31"/>
      <c r="DI16" s="31"/>
      <c r="DO16" s="31"/>
      <c r="DP16" s="31"/>
      <c r="DR16" t="s">
        <v>869</v>
      </c>
      <c r="DS16" t="s">
        <v>837</v>
      </c>
      <c r="DT16" t="s">
        <v>527</v>
      </c>
      <c r="DU16" s="29" t="s">
        <v>850</v>
      </c>
      <c r="DV16" t="s">
        <v>173</v>
      </c>
      <c r="DW16" t="s">
        <v>366</v>
      </c>
      <c r="DX16" t="s">
        <v>171</v>
      </c>
      <c r="DY16" t="s">
        <v>168</v>
      </c>
      <c r="DZ16" t="s">
        <v>169</v>
      </c>
      <c r="EA16" s="22">
        <v>43077.177256944444</v>
      </c>
      <c r="EB16" t="s">
        <v>2488</v>
      </c>
      <c r="EC16" t="s">
        <v>2691</v>
      </c>
    </row>
    <row r="17" spans="1:133">
      <c r="A17" s="30"/>
      <c r="B17" s="22">
        <v>42956.588888888888</v>
      </c>
      <c r="C17" s="22" t="s">
        <v>808</v>
      </c>
      <c r="D17" s="30" t="s">
        <v>2348</v>
      </c>
      <c r="E17" s="30" t="s">
        <v>903</v>
      </c>
      <c r="F17" s="30" t="s">
        <v>170</v>
      </c>
      <c r="G17" s="30" t="s">
        <v>172</v>
      </c>
      <c r="H17" t="s">
        <v>94</v>
      </c>
      <c r="I17" t="s">
        <v>2468</v>
      </c>
      <c r="J17" t="s">
        <v>1488</v>
      </c>
      <c r="L17">
        <v>2</v>
      </c>
      <c r="M17" s="26">
        <v>2.02</v>
      </c>
      <c r="N17" t="s">
        <v>208</v>
      </c>
      <c r="O17" t="s">
        <v>248</v>
      </c>
      <c r="Q17" s="29" t="s">
        <v>13</v>
      </c>
      <c r="R17" s="29" t="str">
        <f>IFERROR(MID(RADataTable[[#This Row],[RAtemplate]],1,LEN(RADataTable[[#This Row],[RAtemplate]])-8),"RA") &amp; " " &amp; RADataTable[[#This Row],[prop_id0]] &amp; " " &amp; RADataTable[[#This Row],[last0]]</f>
        <v>RA 1755801 Zhao</v>
      </c>
      <c r="U17" s="21" t="str">
        <f>IF(signer1="PD",IF(ISBLANK(RADataTable[[#This Row],[sign_blck_name]]),"",RADataTable[[#This Row],[sign_blck_name]]),IF(ISBLANK(signer1),"",signer1))</f>
        <v>Weng-keen Wong</v>
      </c>
      <c r="V17" s="29" t="str">
        <f>signer2</f>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tzhao80@gatech.edu</v>
      </c>
      <c r="Y17" s="15" t="str">
        <f>HYPERLINK("mailto:"&amp;RADataTable[[#This Row],[allPIemail]]&amp;"&amp;subject=NSF Proposal:  "&amp;RADataTable[[#This Row],[Div]]&amp;" "&amp;RADataTable[[#This Row],[prop_id0]], "PIs@")</f>
        <v>PIs@</v>
      </c>
      <c r="Z17" t="s">
        <v>2351</v>
      </c>
      <c r="AA17" t="s">
        <v>1903</v>
      </c>
      <c r="AB17">
        <v>7</v>
      </c>
      <c r="AC17">
        <v>7</v>
      </c>
      <c r="AD17"/>
      <c r="AE17" t="str">
        <f>IF(RADataTable[[#This Row],[maxScore]]-RADataTable[[#This Row],[minScore]]&gt;4,"Y","")</f>
        <v/>
      </c>
      <c r="AF17" s="21">
        <v>3</v>
      </c>
      <c r="AG17" s="26">
        <v>5</v>
      </c>
      <c r="AH17">
        <v>7</v>
      </c>
      <c r="AI17" t="s">
        <v>2499</v>
      </c>
      <c r="AJ17" s="30">
        <v>43058.96597222222</v>
      </c>
      <c r="AK17" s="13">
        <v>175000</v>
      </c>
      <c r="AL17" s="13">
        <v>175000</v>
      </c>
      <c r="AM17">
        <v>0</v>
      </c>
      <c r="AN17" s="30">
        <v>43235</v>
      </c>
      <c r="AO17" s="21">
        <v>24</v>
      </c>
      <c r="AP17" s="21" t="s">
        <v>2500</v>
      </c>
      <c r="AQ17">
        <v>1</v>
      </c>
      <c r="AR17" t="s">
        <v>2634</v>
      </c>
      <c r="AS17" s="30">
        <v>43054.411805555559</v>
      </c>
      <c r="AT17" t="s">
        <v>1906</v>
      </c>
      <c r="AU17" s="21" t="s">
        <v>207</v>
      </c>
      <c r="AV17" s="21">
        <v>2</v>
      </c>
      <c r="AW17" s="21" t="s">
        <v>2699</v>
      </c>
      <c r="AX17" s="30">
        <v>43056</v>
      </c>
      <c r="AY17" s="21" t="s">
        <v>2700</v>
      </c>
      <c r="AZ17" s="21" t="s">
        <v>2701</v>
      </c>
      <c r="BA17" s="21">
        <v>11</v>
      </c>
      <c r="BB17" s="21">
        <v>1</v>
      </c>
      <c r="BC17" s="21" t="s">
        <v>619</v>
      </c>
      <c r="BD17" s="21" t="s">
        <v>249</v>
      </c>
      <c r="BE17" s="21">
        <v>5</v>
      </c>
      <c r="BF17" s="21" t="s">
        <v>852</v>
      </c>
      <c r="BG17" s="30">
        <v>43060</v>
      </c>
      <c r="BH17" s="21" t="s">
        <v>2702</v>
      </c>
      <c r="BI17" s="21" t="s">
        <v>854</v>
      </c>
      <c r="BJ17" s="21">
        <v>12</v>
      </c>
      <c r="BK17" s="21">
        <v>1</v>
      </c>
      <c r="BP17" s="30"/>
      <c r="BU17" t="s">
        <v>1903</v>
      </c>
      <c r="BV17" s="21" t="s">
        <v>1904</v>
      </c>
      <c r="BW17" s="21" t="s">
        <v>2498</v>
      </c>
      <c r="BX17" s="21" t="s">
        <v>2133</v>
      </c>
      <c r="BY17" s="31">
        <v>175000</v>
      </c>
      <c r="BZ17" s="31">
        <v>175000</v>
      </c>
      <c r="CA17" t="s">
        <v>2469</v>
      </c>
      <c r="CF17" s="31"/>
      <c r="CG17" s="31"/>
      <c r="CM17" s="31"/>
      <c r="CN17" s="31"/>
      <c r="CT17" s="31"/>
      <c r="CU17" s="31"/>
      <c r="CV17" s="31"/>
      <c r="DA17" s="31"/>
      <c r="DB17" s="31"/>
      <c r="DC17" s="31"/>
      <c r="DH17" s="31"/>
      <c r="DI17" s="31"/>
      <c r="DO17" s="31"/>
      <c r="DP17" s="31"/>
      <c r="DR17" t="s">
        <v>869</v>
      </c>
      <c r="DS17" t="s">
        <v>2624</v>
      </c>
      <c r="DT17" t="s">
        <v>904</v>
      </c>
      <c r="DU17" s="29" t="s">
        <v>2625</v>
      </c>
      <c r="DV17" t="s">
        <v>173</v>
      </c>
      <c r="DW17" t="s">
        <v>366</v>
      </c>
      <c r="DX17" t="s">
        <v>171</v>
      </c>
      <c r="DY17" t="s">
        <v>168</v>
      </c>
      <c r="DZ17" t="s">
        <v>169</v>
      </c>
      <c r="EA17" s="22">
        <v>43077.177256944444</v>
      </c>
      <c r="EB17" t="s">
        <v>2501</v>
      </c>
      <c r="EC17" t="s">
        <v>2703</v>
      </c>
    </row>
    <row r="18" spans="1:133">
      <c r="A18" s="30"/>
      <c r="B18" s="22">
        <v>42956.621527777781</v>
      </c>
      <c r="C18" s="22" t="s">
        <v>808</v>
      </c>
      <c r="D18" s="30" t="s">
        <v>741</v>
      </c>
      <c r="E18" s="30" t="s">
        <v>526</v>
      </c>
      <c r="F18" s="30" t="s">
        <v>170</v>
      </c>
      <c r="G18" s="30" t="s">
        <v>172</v>
      </c>
      <c r="H18" t="s">
        <v>94</v>
      </c>
      <c r="I18" t="s">
        <v>809</v>
      </c>
      <c r="J18" t="s">
        <v>543</v>
      </c>
      <c r="L18">
        <v>1</v>
      </c>
      <c r="M18" s="26">
        <v>2.02</v>
      </c>
      <c r="N18" t="s">
        <v>208</v>
      </c>
      <c r="Q18" s="29" t="s">
        <v>13</v>
      </c>
      <c r="R18" s="29" t="str">
        <f>IFERROR(MID(RADataTable[[#This Row],[RAtemplate]],1,LEN(RADataTable[[#This Row],[RAtemplate]])-8),"RA") &amp; " " &amp; RADataTable[[#This Row],[prop_id0]] &amp; " " &amp; RADataTable[[#This Row],[last0]]</f>
        <v>RA 1755847 Sun</v>
      </c>
      <c r="U18" s="21" t="str">
        <f>IF(signer1="PD",IF(ISBLANK(RADataTable[[#This Row],[sign_blck_name]]),"",RADataTable[[#This Row],[sign_blck_name]]),IF(ISBLANK(signer1),"",signer1))</f>
        <v>Tracy J. Kimbrel</v>
      </c>
      <c r="V18" s="29" t="str">
        <f>signer2</f>
        <v>Cognizant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ruoyus@illinois.edu</v>
      </c>
      <c r="Y18" s="15" t="str">
        <f>HYPERLINK("mailto:"&amp;RADataTable[[#This Row],[allPIemail]]&amp;"&amp;subject=NSF Proposal:  "&amp;RADataTable[[#This Row],[Div]]&amp;" "&amp;RADataTable[[#This Row],[prop_id0]], "PIs@")</f>
        <v>PIs@</v>
      </c>
      <c r="Z18" t="s">
        <v>742</v>
      </c>
      <c r="AA18" t="s">
        <v>710</v>
      </c>
      <c r="AB18">
        <v>3</v>
      </c>
      <c r="AC18">
        <v>3</v>
      </c>
      <c r="AD18"/>
      <c r="AE18" t="str">
        <f>IF(RADataTable[[#This Row],[maxScore]]-RADataTable[[#This Row],[minScore]]&gt;4,"Y","")</f>
        <v/>
      </c>
      <c r="AF18" s="21">
        <v>6</v>
      </c>
      <c r="AG18" s="26">
        <v>6.333333333333333</v>
      </c>
      <c r="AH18">
        <v>7</v>
      </c>
      <c r="AI18" t="s">
        <v>818</v>
      </c>
      <c r="AJ18" s="30">
        <v>43031.767361111109</v>
      </c>
      <c r="AK18" s="13">
        <v>175000</v>
      </c>
      <c r="AL18" s="13">
        <v>175000</v>
      </c>
      <c r="AM18">
        <v>0</v>
      </c>
      <c r="AN18" s="30">
        <v>43282</v>
      </c>
      <c r="AO18" s="21">
        <v>24</v>
      </c>
      <c r="AP18" s="21" t="s">
        <v>819</v>
      </c>
      <c r="AS18" s="30"/>
      <c r="AT18" t="s">
        <v>544</v>
      </c>
      <c r="AU18" s="21" t="s">
        <v>207</v>
      </c>
      <c r="AV18" s="21">
        <v>2</v>
      </c>
      <c r="AW18" s="21" t="s">
        <v>839</v>
      </c>
      <c r="AX18" s="30">
        <v>43032</v>
      </c>
      <c r="AY18" s="21" t="s">
        <v>871</v>
      </c>
      <c r="AZ18" s="21" t="s">
        <v>841</v>
      </c>
      <c r="BA18" s="21">
        <v>14</v>
      </c>
      <c r="BB18" s="21">
        <v>2</v>
      </c>
      <c r="BG18" s="30"/>
      <c r="BP18" s="30"/>
      <c r="BU18" t="s">
        <v>710</v>
      </c>
      <c r="BV18" s="21" t="s">
        <v>348</v>
      </c>
      <c r="BW18" s="21" t="s">
        <v>817</v>
      </c>
      <c r="BX18" s="21" t="s">
        <v>339</v>
      </c>
      <c r="BY18" s="31">
        <v>175000</v>
      </c>
      <c r="BZ18" s="31">
        <v>175000</v>
      </c>
      <c r="CA18" t="s">
        <v>816</v>
      </c>
      <c r="CF18" s="31"/>
      <c r="CG18" s="31"/>
      <c r="CM18" s="31"/>
      <c r="CN18" s="31"/>
      <c r="CT18" s="31"/>
      <c r="CU18" s="31"/>
      <c r="CV18" s="31"/>
      <c r="DA18" s="31"/>
      <c r="DB18" s="31"/>
      <c r="DC18" s="31"/>
      <c r="DH18" s="31"/>
      <c r="DI18" s="31"/>
      <c r="DO18" s="31"/>
      <c r="DP18" s="31"/>
      <c r="DR18" t="s">
        <v>869</v>
      </c>
      <c r="DS18" t="s">
        <v>837</v>
      </c>
      <c r="DT18" t="s">
        <v>527</v>
      </c>
      <c r="DU18" s="29" t="s">
        <v>850</v>
      </c>
      <c r="DV18" t="s">
        <v>173</v>
      </c>
      <c r="DW18" t="s">
        <v>366</v>
      </c>
      <c r="DX18" t="s">
        <v>171</v>
      </c>
      <c r="DY18" t="s">
        <v>168</v>
      </c>
      <c r="DZ18" t="s">
        <v>169</v>
      </c>
      <c r="EA18" s="22">
        <v>43077.177256944444</v>
      </c>
      <c r="EB18" t="s">
        <v>820</v>
      </c>
      <c r="EC18" t="s">
        <v>872</v>
      </c>
    </row>
    <row r="19" spans="1:133">
      <c r="A19" s="30">
        <v>42933.475868055553</v>
      </c>
      <c r="B19" s="22">
        <v>42809.474999999999</v>
      </c>
      <c r="C19" s="22" t="s">
        <v>1965</v>
      </c>
      <c r="D19" s="30" t="s">
        <v>741</v>
      </c>
      <c r="E19" s="30" t="s">
        <v>901</v>
      </c>
      <c r="F19" s="30" t="s">
        <v>170</v>
      </c>
      <c r="G19" s="30" t="s">
        <v>1974</v>
      </c>
      <c r="H19" t="s">
        <v>94</v>
      </c>
      <c r="I19" t="s">
        <v>1967</v>
      </c>
      <c r="J19" t="s">
        <v>540</v>
      </c>
      <c r="K19" s="22">
        <v>42927.466689814813</v>
      </c>
      <c r="L19">
        <v>1</v>
      </c>
      <c r="M19" s="26">
        <v>2.0299999999999998</v>
      </c>
      <c r="N19" t="s">
        <v>176</v>
      </c>
      <c r="Q19" s="29" t="s">
        <v>13</v>
      </c>
      <c r="R19" s="29" t="str">
        <f>IFERROR(MID(RADataTable[[#This Row],[RAtemplate]],1,LEN(RADataTable[[#This Row],[RAtemplate]])-8),"RA") &amp; " " &amp; RADataTable[[#This Row],[prop_id0]] &amp; " " &amp; RADataTable[[#This Row],[last0]]</f>
        <v>RA 1740741 Brock</v>
      </c>
      <c r="U19" s="21" t="str">
        <f>IF(signer1="PD",IF(ISBLANK(RADataTable[[#This Row],[sign_blck_name]]),"",RADataTable[[#This Row],[sign_blck_name]]),IF(ISBLANK(signer1),"",signer1))</f>
        <v>Jack Snoeyink</v>
      </c>
      <c r="V19" s="29" t="str">
        <f>signer2</f>
        <v>Cognizant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Jeff_Brock@brown.edu</v>
      </c>
      <c r="Y19" s="15" t="str">
        <f>HYPERLINK("mailto:"&amp;RADataTable[[#This Row],[allPIemail]]&amp;"&amp;subject=NSF Proposal:  "&amp;RADataTable[[#This Row],[Div]]&amp;" "&amp;RADataTable[[#This Row],[prop_id0]], "PIs@")</f>
        <v>PIs@</v>
      </c>
      <c r="Z19" t="s">
        <v>742</v>
      </c>
      <c r="AA19" t="s">
        <v>1094</v>
      </c>
      <c r="AB19">
        <v>3</v>
      </c>
      <c r="AD19"/>
      <c r="AE19" t="str">
        <f>IF(RADataTable[[#This Row],[maxScore]]-RADataTable[[#This Row],[minScore]]&gt;4,"Y","")</f>
        <v/>
      </c>
      <c r="AF19" s="21">
        <v>7</v>
      </c>
      <c r="AG19" s="26">
        <v>7.333333333333333</v>
      </c>
      <c r="AH19">
        <v>8</v>
      </c>
      <c r="AI19" t="s">
        <v>1976</v>
      </c>
      <c r="AJ19" s="30">
        <v>42872.390277777777</v>
      </c>
      <c r="AK19" s="13">
        <v>1482177</v>
      </c>
      <c r="AL19" s="13">
        <v>1482177</v>
      </c>
      <c r="AM19">
        <v>0</v>
      </c>
      <c r="AN19" s="30">
        <v>42979</v>
      </c>
      <c r="AO19" s="21">
        <v>36</v>
      </c>
      <c r="AP19" s="21" t="s">
        <v>2088</v>
      </c>
      <c r="AS19" s="30"/>
      <c r="AT19" t="s">
        <v>919</v>
      </c>
      <c r="AU19" s="21" t="s">
        <v>1004</v>
      </c>
      <c r="AV19" s="21">
        <v>3</v>
      </c>
      <c r="AW19" s="21" t="s">
        <v>2517</v>
      </c>
      <c r="AX19" s="30">
        <v>42872</v>
      </c>
      <c r="AY19" s="21" t="s">
        <v>2522</v>
      </c>
      <c r="AZ19" s="21" t="s">
        <v>2518</v>
      </c>
      <c r="BA19" s="21">
        <v>12</v>
      </c>
      <c r="BG19" s="30"/>
      <c r="BP19" s="30"/>
      <c r="BU19" t="s">
        <v>1094</v>
      </c>
      <c r="BV19" s="21" t="s">
        <v>1095</v>
      </c>
      <c r="BW19" s="21" t="s">
        <v>2086</v>
      </c>
      <c r="BX19" s="21" t="s">
        <v>2087</v>
      </c>
      <c r="BY19" s="31">
        <v>1482177</v>
      </c>
      <c r="BZ19" s="31">
        <v>1482177</v>
      </c>
      <c r="CA19" t="s">
        <v>2085</v>
      </c>
      <c r="CF19" s="31"/>
      <c r="CG19" s="31"/>
      <c r="CM19" s="31"/>
      <c r="CN19" s="31"/>
      <c r="CT19" s="31"/>
      <c r="CU19" s="31"/>
      <c r="CV19" s="31"/>
      <c r="DA19" s="31"/>
      <c r="DB19" s="31"/>
      <c r="DC19" s="31"/>
      <c r="DH19" s="31"/>
      <c r="DI19" s="31"/>
      <c r="DO19" s="31"/>
      <c r="DP19" s="31"/>
      <c r="DR19" t="s">
        <v>2519</v>
      </c>
      <c r="DS19" t="s">
        <v>837</v>
      </c>
      <c r="DT19" t="s">
        <v>902</v>
      </c>
      <c r="DU19" s="29" t="s">
        <v>838</v>
      </c>
      <c r="DV19" t="s">
        <v>1977</v>
      </c>
      <c r="DW19" t="s">
        <v>366</v>
      </c>
      <c r="DX19" t="s">
        <v>171</v>
      </c>
      <c r="DY19" t="s">
        <v>168</v>
      </c>
      <c r="DZ19" t="s">
        <v>169</v>
      </c>
      <c r="EA19" s="22">
        <v>43077.177256944444</v>
      </c>
      <c r="EB19" t="s">
        <v>2089</v>
      </c>
      <c r="EC19" t="s">
        <v>2546</v>
      </c>
    </row>
    <row r="20" spans="1:133">
      <c r="A20" s="30">
        <v>42930.452893518515</v>
      </c>
      <c r="B20" s="22">
        <v>42809.593055555553</v>
      </c>
      <c r="C20" s="22" t="s">
        <v>1965</v>
      </c>
      <c r="D20" s="30" t="s">
        <v>741</v>
      </c>
      <c r="E20" s="30" t="s">
        <v>901</v>
      </c>
      <c r="F20" s="30" t="s">
        <v>170</v>
      </c>
      <c r="G20" s="30" t="s">
        <v>1974</v>
      </c>
      <c r="H20" t="s">
        <v>94</v>
      </c>
      <c r="I20" t="s">
        <v>1967</v>
      </c>
      <c r="J20" t="s">
        <v>942</v>
      </c>
      <c r="K20" s="22">
        <v>42926.717858796299</v>
      </c>
      <c r="L20">
        <v>1</v>
      </c>
      <c r="M20" s="26">
        <v>2.0299999999999998</v>
      </c>
      <c r="N20" t="s">
        <v>176</v>
      </c>
      <c r="Q20" s="29" t="s">
        <v>13</v>
      </c>
      <c r="R20" s="29" t="str">
        <f>IFERROR(MID(RADataTable[[#This Row],[RAtemplate]],1,LEN(RADataTable[[#This Row],[RAtemplate]])-8),"RA") &amp; " " &amp; RADataTable[[#This Row],[prop_id0]] &amp; " " &amp; RADataTable[[#This Row],[last0]]</f>
        <v>RA 1740776 Huo</v>
      </c>
      <c r="U20" s="21" t="str">
        <f>IF(signer1="PD",IF(ISBLANK(RADataTable[[#This Row],[sign_blck_name]]),"",RADataTable[[#This Row],[sign_blck_name]]),IF(ISBLANK(signer1),"",signer1))</f>
        <v>Nandini Kannan</v>
      </c>
      <c r="V20" s="29" t="str">
        <f>signer2</f>
        <v>Cognizant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xiaoming@isye.gatech.edu</v>
      </c>
      <c r="Y20" s="15" t="str">
        <f>HYPERLINK("mailto:"&amp;RADataTable[[#This Row],[allPIemail]]&amp;"&amp;subject=NSF Proposal:  "&amp;RADataTable[[#This Row],[Div]]&amp;" "&amp;RADataTable[[#This Row],[prop_id0]], "PIs@")</f>
        <v>PIs@</v>
      </c>
      <c r="Z20" t="s">
        <v>742</v>
      </c>
      <c r="AA20" t="s">
        <v>1165</v>
      </c>
      <c r="AB20">
        <v>3</v>
      </c>
      <c r="AD20"/>
      <c r="AE20" t="str">
        <f>IF(RADataTable[[#This Row],[maxScore]]-RADataTable[[#This Row],[minScore]]&gt;4,"Y","")</f>
        <v/>
      </c>
      <c r="AF20" s="21">
        <v>6</v>
      </c>
      <c r="AG20" s="26">
        <v>7</v>
      </c>
      <c r="AH20">
        <v>8</v>
      </c>
      <c r="AI20" t="s">
        <v>2104</v>
      </c>
      <c r="AJ20" s="30">
        <v>42871.888888888891</v>
      </c>
      <c r="AK20" s="13">
        <v>1500000</v>
      </c>
      <c r="AL20" s="13">
        <v>1500000</v>
      </c>
      <c r="AM20">
        <v>0</v>
      </c>
      <c r="AN20" s="30">
        <v>42979</v>
      </c>
      <c r="AO20" s="21">
        <v>36</v>
      </c>
      <c r="AP20" s="21" t="s">
        <v>2134</v>
      </c>
      <c r="AS20" s="30"/>
      <c r="AT20" t="s">
        <v>919</v>
      </c>
      <c r="AU20" s="21" t="s">
        <v>1004</v>
      </c>
      <c r="AV20" s="21">
        <v>3</v>
      </c>
      <c r="AW20" s="21" t="s">
        <v>2517</v>
      </c>
      <c r="AX20" s="30">
        <v>42872</v>
      </c>
      <c r="AY20" s="21" t="s">
        <v>2548</v>
      </c>
      <c r="AZ20" s="21" t="s">
        <v>2518</v>
      </c>
      <c r="BA20" s="21">
        <v>12</v>
      </c>
      <c r="BB20" s="21">
        <v>1</v>
      </c>
      <c r="BG20" s="30"/>
      <c r="BP20" s="30"/>
      <c r="BU20" t="s">
        <v>1165</v>
      </c>
      <c r="BV20" s="21" t="s">
        <v>1166</v>
      </c>
      <c r="BW20" s="21" t="s">
        <v>2132</v>
      </c>
      <c r="BX20" s="21" t="s">
        <v>2133</v>
      </c>
      <c r="BY20" s="31">
        <v>1500000</v>
      </c>
      <c r="BZ20" s="31">
        <v>1500000</v>
      </c>
      <c r="CA20" t="s">
        <v>1968</v>
      </c>
      <c r="CF20" s="31"/>
      <c r="CG20" s="31"/>
      <c r="CM20" s="31"/>
      <c r="CN20" s="31"/>
      <c r="CT20" s="31"/>
      <c r="CU20" s="31"/>
      <c r="CV20" s="31"/>
      <c r="DA20" s="31"/>
      <c r="DB20" s="31"/>
      <c r="DC20" s="31"/>
      <c r="DH20" s="31"/>
      <c r="DI20" s="31"/>
      <c r="DO20" s="31"/>
      <c r="DP20" s="31"/>
      <c r="DR20" t="s">
        <v>2519</v>
      </c>
      <c r="DS20" t="s">
        <v>837</v>
      </c>
      <c r="DT20" t="s">
        <v>902</v>
      </c>
      <c r="DU20" s="29" t="s">
        <v>2531</v>
      </c>
      <c r="DV20" t="s">
        <v>1977</v>
      </c>
      <c r="DW20" t="s">
        <v>366</v>
      </c>
      <c r="DX20" t="s">
        <v>171</v>
      </c>
      <c r="DY20" t="s">
        <v>168</v>
      </c>
      <c r="DZ20" t="s">
        <v>169</v>
      </c>
      <c r="EA20" s="22">
        <v>43077.177256944444</v>
      </c>
      <c r="EB20" t="s">
        <v>2135</v>
      </c>
      <c r="EC20" t="s">
        <v>2557</v>
      </c>
    </row>
    <row r="21" spans="1:133">
      <c r="A21" s="30">
        <v>42936.692673611113</v>
      </c>
      <c r="B21" s="22">
        <v>42809.64166666667</v>
      </c>
      <c r="C21" s="22" t="s">
        <v>1965</v>
      </c>
      <c r="D21" s="30" t="s">
        <v>741</v>
      </c>
      <c r="E21" s="30" t="s">
        <v>901</v>
      </c>
      <c r="F21" s="30" t="s">
        <v>170</v>
      </c>
      <c r="G21" s="30" t="s">
        <v>1974</v>
      </c>
      <c r="H21" t="s">
        <v>94</v>
      </c>
      <c r="I21" t="s">
        <v>1967</v>
      </c>
      <c r="J21" t="s">
        <v>540</v>
      </c>
      <c r="K21" s="22">
        <v>42934.612986111111</v>
      </c>
      <c r="L21">
        <v>1</v>
      </c>
      <c r="M21" s="26">
        <v>2.0299999999999998</v>
      </c>
      <c r="N21" t="s">
        <v>176</v>
      </c>
      <c r="Q21" s="29" t="s">
        <v>13</v>
      </c>
      <c r="R21" s="29" t="str">
        <f>IFERROR(MID(RADataTable[[#This Row],[RAtemplate]],1,LEN(RADataTable[[#This Row],[RAtemplate]])-8),"RA") &amp; " " &amp; RADataTable[[#This Row],[prop_id0]] &amp; " " &amp; RADataTable[[#This Row],[last0]]</f>
        <v>RA 1740796 Scheinberg</v>
      </c>
      <c r="U21" s="21" t="str">
        <f>IF(signer1="PD",IF(ISBLANK(RADataTable[[#This Row],[sign_blck_name]]),"",RADataTable[[#This Row],[sign_blck_name]]),IF(ISBLANK(signer1),"",signer1))</f>
        <v>Jack Snoeyink</v>
      </c>
      <c r="V21" s="29" t="str">
        <f>signer2</f>
        <v>Cognizant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kas410@lehigh.edu</v>
      </c>
      <c r="Y21" s="15" t="str">
        <f>HYPERLINK("mailto:"&amp;RADataTable[[#This Row],[allPIemail]]&amp;"&amp;subject=NSF Proposal:  "&amp;RADataTable[[#This Row],[Div]]&amp;" "&amp;RADataTable[[#This Row],[prop_id0]], "PIs@")</f>
        <v>PIs@</v>
      </c>
      <c r="Z21" t="s">
        <v>742</v>
      </c>
      <c r="AA21" t="s">
        <v>1197</v>
      </c>
      <c r="AB21">
        <v>3</v>
      </c>
      <c r="AD21"/>
      <c r="AE21" t="str">
        <f>IF(RADataTable[[#This Row],[maxScore]]-RADataTable[[#This Row],[minScore]]&gt;4,"Y","")</f>
        <v/>
      </c>
      <c r="AF21" s="21">
        <v>6</v>
      </c>
      <c r="AG21" s="26">
        <v>6.666666666666667</v>
      </c>
      <c r="AH21">
        <v>7</v>
      </c>
      <c r="AI21" t="s">
        <v>2172</v>
      </c>
      <c r="AJ21" s="30">
        <v>42872.496527777781</v>
      </c>
      <c r="AK21" s="13">
        <v>1484152</v>
      </c>
      <c r="AL21" s="13">
        <v>1484152</v>
      </c>
      <c r="AM21">
        <v>1</v>
      </c>
      <c r="AN21" s="30">
        <v>43101</v>
      </c>
      <c r="AO21" s="21">
        <v>36</v>
      </c>
      <c r="AP21" s="21" t="s">
        <v>2173</v>
      </c>
      <c r="AS21" s="30"/>
      <c r="AT21" t="s">
        <v>919</v>
      </c>
      <c r="AU21" s="21" t="s">
        <v>1004</v>
      </c>
      <c r="AV21" s="21">
        <v>3</v>
      </c>
      <c r="AW21" s="21" t="s">
        <v>2517</v>
      </c>
      <c r="AX21" s="30">
        <v>42872</v>
      </c>
      <c r="AY21" s="21" t="s">
        <v>2563</v>
      </c>
      <c r="AZ21" s="21" t="s">
        <v>2518</v>
      </c>
      <c r="BA21" s="21">
        <v>12</v>
      </c>
      <c r="BB21" s="21">
        <v>1</v>
      </c>
      <c r="BG21" s="30"/>
      <c r="BP21" s="30"/>
      <c r="BU21" t="s">
        <v>1197</v>
      </c>
      <c r="BV21" s="21" t="s">
        <v>1198</v>
      </c>
      <c r="BW21" s="21" t="s">
        <v>2171</v>
      </c>
      <c r="BX21" s="21" t="s">
        <v>2109</v>
      </c>
      <c r="BY21" s="31">
        <v>895670</v>
      </c>
      <c r="BZ21" s="31">
        <v>895670</v>
      </c>
      <c r="CA21" t="s">
        <v>2007</v>
      </c>
      <c r="CB21" s="21" t="s">
        <v>2175</v>
      </c>
      <c r="CC21" s="21" t="s">
        <v>2176</v>
      </c>
      <c r="CD21" s="21" t="s">
        <v>2177</v>
      </c>
      <c r="CE21" s="21" t="s">
        <v>2178</v>
      </c>
      <c r="CF21" s="31">
        <v>300000</v>
      </c>
      <c r="CG21" s="31">
        <v>300000</v>
      </c>
      <c r="CH21" t="s">
        <v>1968</v>
      </c>
      <c r="CI21" s="21" t="s">
        <v>2181</v>
      </c>
      <c r="CJ21" s="21" t="s">
        <v>618</v>
      </c>
      <c r="CK21" s="21" t="s">
        <v>769</v>
      </c>
      <c r="CL21" s="21" t="s">
        <v>770</v>
      </c>
      <c r="CM21" s="31">
        <v>288482</v>
      </c>
      <c r="CN21" s="31">
        <v>288482</v>
      </c>
      <c r="CO21" t="s">
        <v>1968</v>
      </c>
      <c r="CT21" s="31"/>
      <c r="CU21" s="31"/>
      <c r="CV21" s="31"/>
      <c r="DA21" s="31"/>
      <c r="DB21" s="31"/>
      <c r="DC21" s="31"/>
      <c r="DH21" s="31"/>
      <c r="DI21" s="31"/>
      <c r="DO21" s="31"/>
      <c r="DP21" s="31"/>
      <c r="DR21" t="s">
        <v>2519</v>
      </c>
      <c r="DS21" t="s">
        <v>837</v>
      </c>
      <c r="DT21" t="s">
        <v>902</v>
      </c>
      <c r="DU21" s="29" t="s">
        <v>838</v>
      </c>
      <c r="DV21" t="s">
        <v>1977</v>
      </c>
      <c r="DW21" t="s">
        <v>366</v>
      </c>
      <c r="DX21" t="s">
        <v>171</v>
      </c>
      <c r="DY21" t="s">
        <v>168</v>
      </c>
      <c r="DZ21" t="s">
        <v>169</v>
      </c>
      <c r="EA21" s="22">
        <v>43077.177256944444</v>
      </c>
      <c r="EB21" t="s">
        <v>2174</v>
      </c>
      <c r="EC21" t="s">
        <v>2564</v>
      </c>
    </row>
    <row r="22" spans="1:133">
      <c r="A22" s="30">
        <v>42930.572418981479</v>
      </c>
      <c r="B22" s="22">
        <v>42809.785416666666</v>
      </c>
      <c r="C22" s="22" t="s">
        <v>1965</v>
      </c>
      <c r="D22" s="30" t="s">
        <v>741</v>
      </c>
      <c r="E22" s="30" t="s">
        <v>901</v>
      </c>
      <c r="F22" s="30" t="s">
        <v>170</v>
      </c>
      <c r="G22" s="30" t="s">
        <v>1974</v>
      </c>
      <c r="H22" t="s">
        <v>94</v>
      </c>
      <c r="I22" t="s">
        <v>1967</v>
      </c>
      <c r="J22" t="s">
        <v>942</v>
      </c>
      <c r="K22" s="22">
        <v>42930.329398148147</v>
      </c>
      <c r="L22">
        <v>1</v>
      </c>
      <c r="M22" s="26">
        <v>2.0299999999999998</v>
      </c>
      <c r="N22" t="s">
        <v>176</v>
      </c>
      <c r="Q22" s="29" t="s">
        <v>13</v>
      </c>
      <c r="R22" s="29" t="str">
        <f>IFERROR(MID(RADataTable[[#This Row],[RAtemplate]],1,LEN(RADataTable[[#This Row],[RAtemplate]])-8),"RA") &amp; " " &amp; RADataTable[[#This Row],[prop_id0]] &amp; " " &amp; RADataTable[[#This Row],[last0]]</f>
        <v>RA 1740855 Mahoney</v>
      </c>
      <c r="U22" s="21" t="str">
        <f>IF(signer1="PD",IF(ISBLANK(RADataTable[[#This Row],[sign_blck_name]]),"",RADataTable[[#This Row],[sign_blck_name]]),IF(ISBLANK(signer1),"",signer1))</f>
        <v>Nandini Kannan</v>
      </c>
      <c r="V22" s="29" t="str">
        <f>signer2</f>
        <v>Cognizant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mmahoney@icsi.berkeley.edu</v>
      </c>
      <c r="Y22" s="15" t="str">
        <f>HYPERLINK("mailto:"&amp;RADataTable[[#This Row],[allPIemail]]&amp;"&amp;subject=NSF Proposal:  "&amp;RADataTable[[#This Row],[Div]]&amp;" "&amp;RADataTable[[#This Row],[prop_id0]], "PIs@")</f>
        <v>PIs@</v>
      </c>
      <c r="Z22" t="s">
        <v>742</v>
      </c>
      <c r="AA22" t="s">
        <v>1456</v>
      </c>
      <c r="AB22">
        <v>3</v>
      </c>
      <c r="AD22"/>
      <c r="AE22" t="str">
        <f>IF(RADataTable[[#This Row],[maxScore]]-RADataTable[[#This Row],[minScore]]&gt;4,"Y","")</f>
        <v/>
      </c>
      <c r="AF22" s="21">
        <v>7</v>
      </c>
      <c r="AG22" s="26">
        <v>7.666666666666667</v>
      </c>
      <c r="AH22">
        <v>9</v>
      </c>
      <c r="AI22" t="s">
        <v>2326</v>
      </c>
      <c r="AJ22" s="30">
        <v>42878.37222222222</v>
      </c>
      <c r="AK22" s="13">
        <v>1500000</v>
      </c>
      <c r="AL22" s="13">
        <v>1499999</v>
      </c>
      <c r="AM22">
        <v>1</v>
      </c>
      <c r="AN22" s="30">
        <v>42979</v>
      </c>
      <c r="AO22" s="21">
        <v>36</v>
      </c>
      <c r="AP22" s="21" t="s">
        <v>2327</v>
      </c>
      <c r="AS22" s="30"/>
      <c r="AT22" t="s">
        <v>943</v>
      </c>
      <c r="AU22" s="21" t="s">
        <v>1004</v>
      </c>
      <c r="AV22" s="21">
        <v>3</v>
      </c>
      <c r="AW22" s="21" t="s">
        <v>2521</v>
      </c>
      <c r="AX22" s="30">
        <v>42878</v>
      </c>
      <c r="AY22" s="21" t="s">
        <v>2613</v>
      </c>
      <c r="AZ22" s="21" t="s">
        <v>2523</v>
      </c>
      <c r="BA22" s="21">
        <v>12</v>
      </c>
      <c r="BB22" s="21">
        <v>1</v>
      </c>
      <c r="BG22" s="30"/>
      <c r="BP22" s="30"/>
      <c r="BU22" t="s">
        <v>1456</v>
      </c>
      <c r="BV22" s="21" t="s">
        <v>1457</v>
      </c>
      <c r="BW22" s="21" t="s">
        <v>1969</v>
      </c>
      <c r="BX22" s="21" t="s">
        <v>2325</v>
      </c>
      <c r="BY22" s="31">
        <v>1500000</v>
      </c>
      <c r="BZ22" s="31">
        <v>1499999</v>
      </c>
      <c r="CA22" t="s">
        <v>1968</v>
      </c>
      <c r="CF22" s="31"/>
      <c r="CG22" s="31"/>
      <c r="CM22" s="31"/>
      <c r="CN22" s="31"/>
      <c r="CT22" s="31"/>
      <c r="CU22" s="31"/>
      <c r="CV22" s="31"/>
      <c r="DA22" s="31"/>
      <c r="DB22" s="31"/>
      <c r="DC22" s="31"/>
      <c r="DH22" s="31"/>
      <c r="DI22" s="31"/>
      <c r="DO22" s="31"/>
      <c r="DP22" s="31"/>
      <c r="DR22" t="s">
        <v>2519</v>
      </c>
      <c r="DS22" t="s">
        <v>837</v>
      </c>
      <c r="DT22" t="s">
        <v>902</v>
      </c>
      <c r="DU22" s="29" t="s">
        <v>2531</v>
      </c>
      <c r="DV22" t="s">
        <v>1977</v>
      </c>
      <c r="DW22" t="s">
        <v>366</v>
      </c>
      <c r="DX22" t="s">
        <v>171</v>
      </c>
      <c r="DY22" t="s">
        <v>168</v>
      </c>
      <c r="DZ22" t="s">
        <v>169</v>
      </c>
      <c r="EA22" s="22">
        <v>43077.177256944444</v>
      </c>
      <c r="EB22" t="s">
        <v>2328</v>
      </c>
      <c r="EC22" t="s">
        <v>2614</v>
      </c>
    </row>
    <row r="23" spans="1:133">
      <c r="A23" s="30"/>
      <c r="B23" s="22">
        <v>42933.713888888888</v>
      </c>
      <c r="C23" s="22" t="s">
        <v>242</v>
      </c>
      <c r="D23" s="30" t="s">
        <v>741</v>
      </c>
      <c r="E23" s="30" t="s">
        <v>528</v>
      </c>
      <c r="F23" s="30" t="s">
        <v>170</v>
      </c>
      <c r="G23" s="30" t="s">
        <v>172</v>
      </c>
      <c r="H23" t="s">
        <v>94</v>
      </c>
      <c r="I23" t="s">
        <v>743</v>
      </c>
      <c r="J23" t="s">
        <v>540</v>
      </c>
      <c r="L23">
        <v>1</v>
      </c>
      <c r="M23" s="26">
        <v>2.0299999999999998</v>
      </c>
      <c r="N23" t="s">
        <v>208</v>
      </c>
      <c r="Q23" s="29" t="s">
        <v>13</v>
      </c>
      <c r="R23" s="29" t="str">
        <f>IFERROR(MID(RADataTable[[#This Row],[RAtemplate]],1,LEN(RADataTable[[#This Row],[RAtemplate]])-8),"RA") &amp; " " &amp; RADataTable[[#This Row],[prop_id0]] &amp; " " &amp; RADataTable[[#This Row],[last0]]</f>
        <v>RA 1749563 Del Pia</v>
      </c>
      <c r="U23" s="21" t="str">
        <f>IF(signer1="PD",IF(ISBLANK(RADataTable[[#This Row],[sign_blck_name]]),"",RADataTable[[#This Row],[sign_blck_name]]),IF(ISBLANK(signer1),"",signer1))</f>
        <v>Jack Snoeyink</v>
      </c>
      <c r="V23" s="29" t="str">
        <f>signer2</f>
        <v>Cognizant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delpia@wisc.edu</v>
      </c>
      <c r="Y23" s="15" t="str">
        <f>HYPERLINK("mailto:"&amp;RADataTable[[#This Row],[allPIemail]]&amp;"&amp;subject=NSF Proposal:  "&amp;RADataTable[[#This Row],[Div]]&amp;" "&amp;RADataTable[[#This Row],[prop_id0]], "PIs@")</f>
        <v>PIs@</v>
      </c>
      <c r="Z23" t="s">
        <v>742</v>
      </c>
      <c r="AA23" t="s">
        <v>585</v>
      </c>
      <c r="AB23">
        <v>4</v>
      </c>
      <c r="AC23">
        <v>4</v>
      </c>
      <c r="AD23"/>
      <c r="AE23" t="str">
        <f>IF(RADataTable[[#This Row],[maxScore]]-RADataTable[[#This Row],[minScore]]&gt;4,"Y","")</f>
        <v/>
      </c>
      <c r="AF23" s="21">
        <v>6</v>
      </c>
      <c r="AG23" s="26">
        <v>7</v>
      </c>
      <c r="AH23">
        <v>8</v>
      </c>
      <c r="AI23" t="s">
        <v>758</v>
      </c>
      <c r="AJ23" s="30">
        <v>43031.584027777775</v>
      </c>
      <c r="AK23" s="13">
        <v>500000</v>
      </c>
      <c r="AL23" s="13">
        <v>500000</v>
      </c>
      <c r="AM23">
        <v>0</v>
      </c>
      <c r="AN23" s="30">
        <v>43344</v>
      </c>
      <c r="AO23" s="21">
        <v>60</v>
      </c>
      <c r="AP23" s="21" t="s">
        <v>759</v>
      </c>
      <c r="AS23" s="30"/>
      <c r="AT23" t="s">
        <v>544</v>
      </c>
      <c r="AU23" s="21" t="s">
        <v>207</v>
      </c>
      <c r="AV23" s="21">
        <v>3</v>
      </c>
      <c r="AW23" s="21" t="s">
        <v>839</v>
      </c>
      <c r="AX23" s="30">
        <v>43032</v>
      </c>
      <c r="AY23" s="21" t="s">
        <v>845</v>
      </c>
      <c r="AZ23" s="21" t="s">
        <v>841</v>
      </c>
      <c r="BA23" s="21">
        <v>14</v>
      </c>
      <c r="BG23" s="30"/>
      <c r="BP23" s="30"/>
      <c r="BU23" t="s">
        <v>585</v>
      </c>
      <c r="BV23" s="21" t="s">
        <v>586</v>
      </c>
      <c r="BW23" s="21" t="s">
        <v>757</v>
      </c>
      <c r="BX23" s="21" t="s">
        <v>247</v>
      </c>
      <c r="BY23" s="31">
        <v>500000</v>
      </c>
      <c r="BZ23" s="31">
        <v>500000</v>
      </c>
      <c r="CA23" t="s">
        <v>744</v>
      </c>
      <c r="CF23" s="31"/>
      <c r="CG23" s="31"/>
      <c r="CM23" s="31"/>
      <c r="CN23" s="31"/>
      <c r="CT23" s="31"/>
      <c r="CU23" s="31"/>
      <c r="CV23" s="31"/>
      <c r="DA23" s="31"/>
      <c r="DB23" s="31"/>
      <c r="DC23" s="31"/>
      <c r="DH23" s="31"/>
      <c r="DI23" s="31"/>
      <c r="DO23" s="31"/>
      <c r="DP23" s="31"/>
      <c r="DR23" t="s">
        <v>246</v>
      </c>
      <c r="DS23" t="s">
        <v>837</v>
      </c>
      <c r="DT23" t="s">
        <v>529</v>
      </c>
      <c r="DU23" s="29" t="s">
        <v>838</v>
      </c>
      <c r="DV23" t="s">
        <v>173</v>
      </c>
      <c r="DW23" t="s">
        <v>366</v>
      </c>
      <c r="DX23" t="s">
        <v>171</v>
      </c>
      <c r="DY23" t="s">
        <v>168</v>
      </c>
      <c r="DZ23" t="s">
        <v>169</v>
      </c>
      <c r="EA23" s="22">
        <v>43077.177256944444</v>
      </c>
      <c r="EB23" t="s">
        <v>760</v>
      </c>
      <c r="EC23" t="s">
        <v>846</v>
      </c>
    </row>
    <row r="24" spans="1:133">
      <c r="A24" s="30"/>
      <c r="B24" s="22">
        <v>42935.387499999997</v>
      </c>
      <c r="C24" s="22" t="s">
        <v>242</v>
      </c>
      <c r="D24" s="30" t="s">
        <v>741</v>
      </c>
      <c r="E24" s="30" t="s">
        <v>528</v>
      </c>
      <c r="F24" s="30" t="s">
        <v>170</v>
      </c>
      <c r="G24" s="30" t="s">
        <v>172</v>
      </c>
      <c r="H24" t="s">
        <v>94</v>
      </c>
      <c r="I24" t="s">
        <v>743</v>
      </c>
      <c r="J24" t="s">
        <v>1530</v>
      </c>
      <c r="L24">
        <v>1</v>
      </c>
      <c r="M24" s="26">
        <v>2.0299999999999998</v>
      </c>
      <c r="N24" t="s">
        <v>208</v>
      </c>
      <c r="Q24" s="29" t="s">
        <v>13</v>
      </c>
      <c r="R24" s="29" t="str">
        <f>IFERROR(MID(RADataTable[[#This Row],[RAtemplate]],1,LEN(RADataTable[[#This Row],[RAtemplate]])-8),"RA") &amp; " " &amp; RADataTable[[#This Row],[prop_id0]] &amp; " " &amp; RADataTable[[#This Row],[last0]]</f>
        <v>RA 1750140 Panigrahi</v>
      </c>
      <c r="U24" s="21" t="str">
        <f>IF(signer1="PD",IF(ISBLANK(RADataTable[[#This Row],[sign_blck_name]]),"",RADataTable[[#This Row],[sign_blck_name]]),IF(ISBLANK(signer1),"",signer1))</f>
        <v>Rahul Shah</v>
      </c>
      <c r="V24" s="29" t="str">
        <f>signer2</f>
        <v>Cognizant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debmalya.panigrahi@gmail.com</v>
      </c>
      <c r="Y24" s="15" t="str">
        <f>HYPERLINK("mailto:"&amp;RADataTable[[#This Row],[allPIemail]]&amp;"&amp;subject=NSF Proposal:  "&amp;RADataTable[[#This Row],[Div]]&amp;" "&amp;RADataTable[[#This Row],[prop_id0]], "PIs@")</f>
        <v>PIs@</v>
      </c>
      <c r="Z24" t="s">
        <v>742</v>
      </c>
      <c r="AA24" t="s">
        <v>1624</v>
      </c>
      <c r="AB24">
        <v>4</v>
      </c>
      <c r="AC24">
        <v>4</v>
      </c>
      <c r="AD24"/>
      <c r="AE24" s="21" t="str">
        <f>IF(RADataTable[[#This Row],[maxScore]]-RADataTable[[#This Row],[minScore]]&gt;4,"Y","")</f>
        <v/>
      </c>
      <c r="AF24" s="21">
        <v>7</v>
      </c>
      <c r="AG24" s="26">
        <v>7.75</v>
      </c>
      <c r="AH24">
        <v>9</v>
      </c>
      <c r="AI24" t="s">
        <v>2385</v>
      </c>
      <c r="AJ24" s="30">
        <v>43032.520138888889</v>
      </c>
      <c r="AK24" s="13">
        <v>602288</v>
      </c>
      <c r="AL24" s="13">
        <v>602288</v>
      </c>
      <c r="AM24">
        <v>0</v>
      </c>
      <c r="AN24" s="30">
        <v>43160</v>
      </c>
      <c r="AO24" s="21">
        <v>60</v>
      </c>
      <c r="AP24" s="21" t="s">
        <v>2386</v>
      </c>
      <c r="AS24" s="30"/>
      <c r="AT24" t="s">
        <v>544</v>
      </c>
      <c r="AU24" s="21" t="s">
        <v>207</v>
      </c>
      <c r="AV24" s="21">
        <v>3</v>
      </c>
      <c r="AW24" s="21" t="s">
        <v>839</v>
      </c>
      <c r="AX24" s="30">
        <v>43032</v>
      </c>
      <c r="AY24" s="21" t="s">
        <v>2643</v>
      </c>
      <c r="AZ24" s="21" t="s">
        <v>841</v>
      </c>
      <c r="BA24" s="21">
        <v>14</v>
      </c>
      <c r="BB24" s="21">
        <v>2</v>
      </c>
      <c r="BG24" s="30"/>
      <c r="BP24" s="30"/>
      <c r="BU24" t="s">
        <v>1624</v>
      </c>
      <c r="BV24" s="21" t="s">
        <v>1625</v>
      </c>
      <c r="BW24" s="21" t="s">
        <v>2384</v>
      </c>
      <c r="BX24" s="21" t="s">
        <v>2198</v>
      </c>
      <c r="BY24" s="31">
        <v>602288</v>
      </c>
      <c r="BZ24" s="31">
        <v>602288</v>
      </c>
      <c r="CA24" t="s">
        <v>744</v>
      </c>
      <c r="CF24" s="31"/>
      <c r="CG24" s="31"/>
      <c r="CM24" s="31"/>
      <c r="CN24" s="31"/>
      <c r="CT24" s="31"/>
      <c r="CU24" s="31"/>
      <c r="CV24" s="31"/>
      <c r="DA24" s="31"/>
      <c r="DB24" s="31"/>
      <c r="DC24" s="31"/>
      <c r="DH24" s="31"/>
      <c r="DI24" s="31"/>
      <c r="DO24" s="31"/>
      <c r="DP24" s="31"/>
      <c r="DR24" t="s">
        <v>246</v>
      </c>
      <c r="DS24" t="s">
        <v>837</v>
      </c>
      <c r="DT24" t="s">
        <v>529</v>
      </c>
      <c r="DU24" s="29" t="s">
        <v>2627</v>
      </c>
      <c r="DV24" t="s">
        <v>173</v>
      </c>
      <c r="DW24" t="s">
        <v>366</v>
      </c>
      <c r="DX24" t="s">
        <v>171</v>
      </c>
      <c r="DY24" t="s">
        <v>168</v>
      </c>
      <c r="DZ24" t="s">
        <v>169</v>
      </c>
      <c r="EA24" s="22">
        <v>43077.177256944444</v>
      </c>
      <c r="EB24" t="s">
        <v>2387</v>
      </c>
      <c r="EC24" t="s">
        <v>2644</v>
      </c>
    </row>
    <row r="25" spans="1:133">
      <c r="A25" s="30"/>
      <c r="B25" s="22">
        <v>42956.697916666664</v>
      </c>
      <c r="C25" s="22" t="s">
        <v>808</v>
      </c>
      <c r="D25" s="30" t="s">
        <v>741</v>
      </c>
      <c r="E25" s="30" t="s">
        <v>526</v>
      </c>
      <c r="F25" s="30" t="s">
        <v>170</v>
      </c>
      <c r="G25" s="30" t="s">
        <v>172</v>
      </c>
      <c r="H25" t="s">
        <v>94</v>
      </c>
      <c r="I25" t="s">
        <v>809</v>
      </c>
      <c r="J25" t="s">
        <v>543</v>
      </c>
      <c r="L25">
        <v>1</v>
      </c>
      <c r="M25" s="26">
        <v>2.0299999999999998</v>
      </c>
      <c r="N25" t="s">
        <v>208</v>
      </c>
      <c r="Q25" s="29" t="s">
        <v>13</v>
      </c>
      <c r="R25" s="29" t="str">
        <f>IFERROR(MID(RADataTable[[#This Row],[RAtemplate]],1,LEN(RADataTable[[#This Row],[RAtemplate]])-8),"RA") &amp; " " &amp; RADataTable[[#This Row],[prop_id0]] &amp; " " &amp; RADataTable[[#This Row],[last0]]</f>
        <v>RA 1755955 Gkatzelis</v>
      </c>
      <c r="U25" s="21" t="str">
        <f>IF(signer1="PD",IF(ISBLANK(RADataTable[[#This Row],[sign_blck_name]]),"",RADataTable[[#This Row],[sign_blck_name]]),IF(ISBLANK(signer1),"",signer1))</f>
        <v>Tracy J. Kimbrel</v>
      </c>
      <c r="V25" s="29" t="str">
        <f>signer2</f>
        <v>Cognizant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gkatz@drexel.edu</v>
      </c>
      <c r="Y25" s="15" t="str">
        <f>HYPERLINK("mailto:"&amp;RADataTable[[#This Row],[allPIemail]]&amp;"&amp;subject=NSF Proposal:  "&amp;RADataTable[[#This Row],[Div]]&amp;" "&amp;RADataTable[[#This Row],[prop_id0]], "PIs@")</f>
        <v>PIs@</v>
      </c>
      <c r="Z25" t="s">
        <v>742</v>
      </c>
      <c r="AA25" t="s">
        <v>1953</v>
      </c>
      <c r="AB25">
        <v>3</v>
      </c>
      <c r="AC25">
        <v>3</v>
      </c>
      <c r="AD25"/>
      <c r="AE25" s="21" t="str">
        <f>IF(RADataTable[[#This Row],[maxScore]]-RADataTable[[#This Row],[minScore]]&gt;4,"Y","")</f>
        <v/>
      </c>
      <c r="AF25" s="21">
        <v>7</v>
      </c>
      <c r="AG25" s="26">
        <v>7</v>
      </c>
      <c r="AH25">
        <v>7</v>
      </c>
      <c r="AI25" t="s">
        <v>2495</v>
      </c>
      <c r="AJ25" s="30">
        <v>43060.397916666669</v>
      </c>
      <c r="AK25" s="13">
        <v>174930</v>
      </c>
      <c r="AL25" s="13">
        <v>174930</v>
      </c>
      <c r="AM25">
        <v>0</v>
      </c>
      <c r="AN25" s="30">
        <v>43132</v>
      </c>
      <c r="AO25" s="21">
        <v>24</v>
      </c>
      <c r="AP25" s="21" t="s">
        <v>2513</v>
      </c>
      <c r="AS25" s="30"/>
      <c r="AT25" t="s">
        <v>619</v>
      </c>
      <c r="AU25" s="21" t="s">
        <v>207</v>
      </c>
      <c r="AV25" s="21">
        <v>3</v>
      </c>
      <c r="AW25" s="21" t="s">
        <v>852</v>
      </c>
      <c r="AX25" s="30">
        <v>43060</v>
      </c>
      <c r="AY25" s="21" t="s">
        <v>2697</v>
      </c>
      <c r="AZ25" s="21" t="s">
        <v>854</v>
      </c>
      <c r="BA25" s="21">
        <v>12</v>
      </c>
      <c r="BG25" s="30"/>
      <c r="BP25" s="30"/>
      <c r="BU25" t="s">
        <v>1953</v>
      </c>
      <c r="BV25" s="21" t="s">
        <v>1781</v>
      </c>
      <c r="BW25" s="21" t="s">
        <v>2446</v>
      </c>
      <c r="BX25" s="21" t="s">
        <v>2447</v>
      </c>
      <c r="BY25" s="31">
        <v>174930</v>
      </c>
      <c r="BZ25" s="31">
        <v>174930</v>
      </c>
      <c r="CA25" t="s">
        <v>2485</v>
      </c>
      <c r="CF25" s="31"/>
      <c r="CG25" s="31"/>
      <c r="CM25" s="31"/>
      <c r="CN25" s="31"/>
      <c r="CT25" s="31"/>
      <c r="CU25" s="31"/>
      <c r="CV25" s="31"/>
      <c r="DA25" s="31"/>
      <c r="DB25" s="31"/>
      <c r="DC25" s="31"/>
      <c r="DH25" s="31"/>
      <c r="DI25" s="31"/>
      <c r="DO25" s="31"/>
      <c r="DP25" s="31"/>
      <c r="DR25" t="s">
        <v>869</v>
      </c>
      <c r="DS25" t="s">
        <v>837</v>
      </c>
      <c r="DT25" t="s">
        <v>527</v>
      </c>
      <c r="DU25" s="29" t="s">
        <v>850</v>
      </c>
      <c r="DV25" t="s">
        <v>173</v>
      </c>
      <c r="DW25" t="s">
        <v>366</v>
      </c>
      <c r="DX25" t="s">
        <v>171</v>
      </c>
      <c r="DY25" t="s">
        <v>168</v>
      </c>
      <c r="DZ25" t="s">
        <v>169</v>
      </c>
      <c r="EA25" s="22">
        <v>43077.177256944444</v>
      </c>
      <c r="EB25" t="s">
        <v>2449</v>
      </c>
      <c r="EC25" t="s">
        <v>2675</v>
      </c>
    </row>
    <row r="26" spans="1:133">
      <c r="A26" s="30"/>
      <c r="B26" s="22">
        <v>42956.746527777781</v>
      </c>
      <c r="C26" s="22" t="s">
        <v>808</v>
      </c>
      <c r="D26" s="30" t="s">
        <v>741</v>
      </c>
      <c r="E26" s="30" t="s">
        <v>526</v>
      </c>
      <c r="F26" s="30" t="s">
        <v>170</v>
      </c>
      <c r="G26" s="30" t="s">
        <v>172</v>
      </c>
      <c r="H26" t="s">
        <v>94</v>
      </c>
      <c r="I26" t="s">
        <v>809</v>
      </c>
      <c r="J26" t="s">
        <v>1530</v>
      </c>
      <c r="L26">
        <v>1</v>
      </c>
      <c r="M26" s="26">
        <v>2.0299999999999998</v>
      </c>
      <c r="N26" t="s">
        <v>208</v>
      </c>
      <c r="Q26" s="29" t="s">
        <v>13</v>
      </c>
      <c r="R26" s="29" t="str">
        <f>IFERROR(MID(RADataTable[[#This Row],[RAtemplate]],1,LEN(RADataTable[[#This Row],[RAtemplate]])-8),"RA") &amp; " " &amp; RADataTable[[#This Row],[prop_id0]] &amp; " " &amp; RADataTable[[#This Row],[last0]]</f>
        <v>RA 1756014 Chen</v>
      </c>
      <c r="U26" s="21" t="str">
        <f>IF(signer1="PD",IF(ISBLANK(RADataTable[[#This Row],[sign_blck_name]]),"",RADataTable[[#This Row],[sign_blck_name]]),IF(ISBLANK(signer1),"",signer1))</f>
        <v>Rahul Shah</v>
      </c>
      <c r="V26" s="29" t="str">
        <f>signer2</f>
        <v>Cognizant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lchen49@central.uh.edu</v>
      </c>
      <c r="Y26" s="15" t="str">
        <f>HYPERLINK("mailto:"&amp;RADataTable[[#This Row],[allPIemail]]&amp;"&amp;subject=NSF Proposal:  "&amp;RADataTable[[#This Row],[Div]]&amp;" "&amp;RADataTable[[#This Row],[prop_id0]], "PIs@")</f>
        <v>PIs@</v>
      </c>
      <c r="Z26" t="s">
        <v>742</v>
      </c>
      <c r="AA26" t="s">
        <v>1960</v>
      </c>
      <c r="AB26">
        <v>3</v>
      </c>
      <c r="AC26">
        <v>3</v>
      </c>
      <c r="AD26"/>
      <c r="AE26" s="21" t="str">
        <f>IF(RADataTable[[#This Row],[maxScore]]-RADataTable[[#This Row],[minScore]]&gt;4,"Y","")</f>
        <v/>
      </c>
      <c r="AF26" s="21">
        <v>5</v>
      </c>
      <c r="AG26" s="26">
        <v>6</v>
      </c>
      <c r="AH26">
        <v>7</v>
      </c>
      <c r="AI26" t="s">
        <v>2189</v>
      </c>
      <c r="AJ26" s="30">
        <v>43031.734027777777</v>
      </c>
      <c r="AK26" s="13">
        <v>148477</v>
      </c>
      <c r="AL26" s="13">
        <v>148477</v>
      </c>
      <c r="AM26">
        <v>0</v>
      </c>
      <c r="AN26" s="30">
        <v>43252</v>
      </c>
      <c r="AO26" s="21">
        <v>24</v>
      </c>
      <c r="AP26" s="21" t="s">
        <v>2515</v>
      </c>
      <c r="AS26" s="30"/>
      <c r="AT26" t="s">
        <v>544</v>
      </c>
      <c r="AU26" s="21" t="s">
        <v>207</v>
      </c>
      <c r="AV26" s="21">
        <v>3</v>
      </c>
      <c r="AW26" s="21" t="s">
        <v>839</v>
      </c>
      <c r="AX26" s="30">
        <v>43032</v>
      </c>
      <c r="AY26" s="21" t="s">
        <v>2567</v>
      </c>
      <c r="AZ26" s="21" t="s">
        <v>841</v>
      </c>
      <c r="BA26" s="21">
        <v>14</v>
      </c>
      <c r="BG26" s="30"/>
      <c r="BP26" s="30"/>
      <c r="BU26" t="s">
        <v>1960</v>
      </c>
      <c r="BV26" s="21" t="s">
        <v>627</v>
      </c>
      <c r="BW26" s="21" t="s">
        <v>932</v>
      </c>
      <c r="BX26" s="21" t="s">
        <v>2514</v>
      </c>
      <c r="BY26" s="31">
        <v>148477</v>
      </c>
      <c r="BZ26" s="31">
        <v>148477</v>
      </c>
      <c r="CA26" t="s">
        <v>810</v>
      </c>
      <c r="CF26" s="31"/>
      <c r="CG26" s="31"/>
      <c r="CM26" s="31"/>
      <c r="CN26" s="31"/>
      <c r="CT26" s="31"/>
      <c r="CU26" s="31"/>
      <c r="CV26" s="31"/>
      <c r="DA26" s="31"/>
      <c r="DB26" s="31"/>
      <c r="DC26" s="31"/>
      <c r="DH26" s="31"/>
      <c r="DI26" s="31"/>
      <c r="DO26" s="31"/>
      <c r="DP26" s="31"/>
      <c r="DR26" t="s">
        <v>869</v>
      </c>
      <c r="DS26" t="s">
        <v>837</v>
      </c>
      <c r="DT26" t="s">
        <v>527</v>
      </c>
      <c r="DU26" s="29" t="s">
        <v>2627</v>
      </c>
      <c r="DV26" t="s">
        <v>173</v>
      </c>
      <c r="DW26" t="s">
        <v>366</v>
      </c>
      <c r="DX26" t="s">
        <v>171</v>
      </c>
      <c r="DY26" t="s">
        <v>168</v>
      </c>
      <c r="DZ26" t="s">
        <v>169</v>
      </c>
      <c r="EA26" s="22">
        <v>43077.177256944444</v>
      </c>
      <c r="EB26" t="s">
        <v>2516</v>
      </c>
      <c r="EC26" t="s">
        <v>2708</v>
      </c>
    </row>
    <row r="27" spans="1:133">
      <c r="A27" s="30">
        <v>42934.550185185188</v>
      </c>
      <c r="B27" s="22">
        <v>42809.54583333333</v>
      </c>
      <c r="C27" s="22" t="s">
        <v>1965</v>
      </c>
      <c r="D27" s="30" t="s">
        <v>741</v>
      </c>
      <c r="E27" s="30" t="s">
        <v>901</v>
      </c>
      <c r="F27" s="30" t="s">
        <v>170</v>
      </c>
      <c r="G27" s="30" t="s">
        <v>1974</v>
      </c>
      <c r="H27" t="s">
        <v>94</v>
      </c>
      <c r="I27" t="s">
        <v>1967</v>
      </c>
      <c r="J27" t="s">
        <v>543</v>
      </c>
      <c r="K27" s="22">
        <v>42930.434641203705</v>
      </c>
      <c r="L27">
        <v>1</v>
      </c>
      <c r="M27" s="26">
        <v>2.04</v>
      </c>
      <c r="N27" t="s">
        <v>176</v>
      </c>
      <c r="Q27" s="29" t="s">
        <v>13</v>
      </c>
      <c r="R27" s="29" t="str">
        <f>IFERROR(MID(RADataTable[[#This Row],[RAtemplate]],1,LEN(RADataTable[[#This Row],[RAtemplate]])-8),"RA") &amp; " " &amp; RADataTable[[#This Row],[prop_id0]] &amp; " " &amp; RADataTable[[#This Row],[last0]]</f>
        <v>RA 1740761 Dey</v>
      </c>
      <c r="U27" s="21" t="str">
        <f>IF(signer1="PD",IF(ISBLANK(RADataTable[[#This Row],[sign_blck_name]]),"",RADataTable[[#This Row],[sign_blck_name]]),IF(ISBLANK(signer1),"",signer1))</f>
        <v>Tracy J. Kimbrel</v>
      </c>
      <c r="V27" s="29" t="str">
        <f>signer2</f>
        <v>Cognizant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tamaldey@cse.ohio-state.edu</v>
      </c>
      <c r="Y27" s="15" t="str">
        <f>HYPERLINK("mailto:"&amp;RADataTable[[#This Row],[allPIemail]]&amp;"&amp;subject=NSF Proposal:  "&amp;RADataTable[[#This Row],[Div]]&amp;" "&amp;RADataTable[[#This Row],[prop_id0]], "PIs@")</f>
        <v>PIs@</v>
      </c>
      <c r="Z27" t="s">
        <v>742</v>
      </c>
      <c r="AA27" t="s">
        <v>1148</v>
      </c>
      <c r="AB27">
        <v>3</v>
      </c>
      <c r="AD27"/>
      <c r="AE27" s="21" t="str">
        <f>IF(RADataTable[[#This Row],[maxScore]]-RADataTable[[#This Row],[minScore]]&gt;4,"Y","")</f>
        <v/>
      </c>
      <c r="AF27" s="21">
        <v>7</v>
      </c>
      <c r="AG27" s="26">
        <v>7.333333333333333</v>
      </c>
      <c r="AH27">
        <v>8</v>
      </c>
      <c r="AI27" t="s">
        <v>1976</v>
      </c>
      <c r="AJ27" s="30">
        <v>42877.461805555555</v>
      </c>
      <c r="AK27" s="13">
        <v>1500000</v>
      </c>
      <c r="AL27" s="13">
        <v>1500000</v>
      </c>
      <c r="AM27">
        <v>0</v>
      </c>
      <c r="AN27" s="30">
        <v>43009</v>
      </c>
      <c r="AO27" s="21">
        <v>36</v>
      </c>
      <c r="AP27" s="21" t="s">
        <v>2125</v>
      </c>
      <c r="AS27" s="30"/>
      <c r="AT27" t="s">
        <v>943</v>
      </c>
      <c r="AU27" s="21" t="s">
        <v>1004</v>
      </c>
      <c r="AV27" s="21">
        <v>4</v>
      </c>
      <c r="AW27" s="21" t="s">
        <v>2521</v>
      </c>
      <c r="AX27" s="30">
        <v>42878</v>
      </c>
      <c r="AY27" s="21" t="s">
        <v>2522</v>
      </c>
      <c r="AZ27" s="21" t="s">
        <v>2523</v>
      </c>
      <c r="BA27" s="21">
        <v>12</v>
      </c>
      <c r="BB27" s="21">
        <v>1</v>
      </c>
      <c r="BG27" s="30"/>
      <c r="BP27" s="30"/>
      <c r="BU27" t="s">
        <v>1148</v>
      </c>
      <c r="BV27" s="21" t="s">
        <v>980</v>
      </c>
      <c r="BW27" s="21" t="s">
        <v>2123</v>
      </c>
      <c r="BX27" s="21" t="s">
        <v>2124</v>
      </c>
      <c r="BY27" s="31">
        <v>1500000</v>
      </c>
      <c r="BZ27" s="31">
        <v>1500000</v>
      </c>
      <c r="CA27" t="s">
        <v>1968</v>
      </c>
      <c r="CF27" s="31"/>
      <c r="CG27" s="31"/>
      <c r="CM27" s="31"/>
      <c r="CN27" s="31"/>
      <c r="CT27" s="31"/>
      <c r="CU27" s="31"/>
      <c r="CV27" s="31"/>
      <c r="DA27" s="31"/>
      <c r="DB27" s="31"/>
      <c r="DC27" s="31"/>
      <c r="DH27" s="31"/>
      <c r="DI27" s="31"/>
      <c r="DO27" s="31"/>
      <c r="DP27" s="31"/>
      <c r="DR27" t="s">
        <v>2519</v>
      </c>
      <c r="DS27" t="s">
        <v>837</v>
      </c>
      <c r="DT27" t="s">
        <v>902</v>
      </c>
      <c r="DU27" s="29" t="s">
        <v>850</v>
      </c>
      <c r="DV27" t="s">
        <v>1977</v>
      </c>
      <c r="DW27" t="s">
        <v>366</v>
      </c>
      <c r="DX27" t="s">
        <v>171</v>
      </c>
      <c r="DY27" t="s">
        <v>168</v>
      </c>
      <c r="DZ27" t="s">
        <v>169</v>
      </c>
      <c r="EA27" s="22">
        <v>43077.177256944444</v>
      </c>
      <c r="EB27" t="s">
        <v>981</v>
      </c>
      <c r="EC27" t="s">
        <v>2554</v>
      </c>
    </row>
    <row r="28" spans="1:133">
      <c r="A28" s="30"/>
      <c r="B28" s="22">
        <v>42934.625694444447</v>
      </c>
      <c r="C28" s="22" t="s">
        <v>242</v>
      </c>
      <c r="D28" s="30" t="s">
        <v>741</v>
      </c>
      <c r="E28" s="30" t="s">
        <v>528</v>
      </c>
      <c r="F28" s="30" t="s">
        <v>170</v>
      </c>
      <c r="G28" s="30" t="s">
        <v>172</v>
      </c>
      <c r="H28" t="s">
        <v>94</v>
      </c>
      <c r="I28" t="s">
        <v>743</v>
      </c>
      <c r="J28" t="s">
        <v>540</v>
      </c>
      <c r="L28">
        <v>1</v>
      </c>
      <c r="M28" s="26">
        <v>2.04</v>
      </c>
      <c r="N28" t="s">
        <v>208</v>
      </c>
      <c r="Q28" s="29" t="s">
        <v>13</v>
      </c>
      <c r="R28" s="29" t="str">
        <f>IFERROR(MID(RADataTable[[#This Row],[RAtemplate]],1,LEN(RADataTable[[#This Row],[RAtemplate]])-8),"RA") &amp; " " &amp; RADataTable[[#This Row],[prop_id0]] &amp; " " &amp; RADataTable[[#This Row],[last0]]</f>
        <v>RA 1749855 Orabona</v>
      </c>
      <c r="U28" s="21" t="str">
        <f>IF(signer1="PD",IF(ISBLANK(RADataTable[[#This Row],[sign_blck_name]]),"",RADataTable[[#This Row],[sign_blck_name]]),IF(ISBLANK(signer1),"",signer1))</f>
        <v>Jack Snoeyink</v>
      </c>
      <c r="V28" s="29" t="str">
        <f>signer2</f>
        <v>Cognizant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francesco@cs.stonybrook.edu</v>
      </c>
      <c r="Y28" s="15" t="str">
        <f>HYPERLINK("mailto:"&amp;RADataTable[[#This Row],[allPIemail]]&amp;"&amp;subject=NSF Proposal:  "&amp;RADataTable[[#This Row],[Div]]&amp;" "&amp;RADataTable[[#This Row],[prop_id0]], "PIs@")</f>
        <v>PIs@</v>
      </c>
      <c r="Z28" t="s">
        <v>742</v>
      </c>
      <c r="AA28" t="s">
        <v>617</v>
      </c>
      <c r="AB28">
        <v>4</v>
      </c>
      <c r="AC28">
        <v>4</v>
      </c>
      <c r="AD28"/>
      <c r="AE28" s="21" t="str">
        <f>IF(RADataTable[[#This Row],[maxScore]]-RADataTable[[#This Row],[minScore]]&gt;4,"Y","")</f>
        <v/>
      </c>
      <c r="AF28" s="21">
        <v>7</v>
      </c>
      <c r="AG28" s="26">
        <v>8</v>
      </c>
      <c r="AH28">
        <v>9</v>
      </c>
      <c r="AI28" t="s">
        <v>771</v>
      </c>
      <c r="AJ28" s="30">
        <v>43059.663888888892</v>
      </c>
      <c r="AK28" s="13">
        <v>516750</v>
      </c>
      <c r="AL28" s="13">
        <v>516750</v>
      </c>
      <c r="AM28">
        <v>0</v>
      </c>
      <c r="AN28" s="30">
        <v>43101</v>
      </c>
      <c r="AO28" s="21">
        <v>60</v>
      </c>
      <c r="AP28" s="21" t="s">
        <v>772</v>
      </c>
      <c r="AS28" s="30"/>
      <c r="AT28" t="s">
        <v>619</v>
      </c>
      <c r="AU28" s="21" t="s">
        <v>207</v>
      </c>
      <c r="AV28" s="21">
        <v>4</v>
      </c>
      <c r="AW28" s="21" t="s">
        <v>852</v>
      </c>
      <c r="AX28" s="30">
        <v>43060</v>
      </c>
      <c r="AY28" s="21" t="s">
        <v>853</v>
      </c>
      <c r="AZ28" s="21" t="s">
        <v>854</v>
      </c>
      <c r="BA28" s="21">
        <v>12</v>
      </c>
      <c r="BG28" s="30"/>
      <c r="BP28" s="30"/>
      <c r="BU28" t="s">
        <v>617</v>
      </c>
      <c r="BV28" s="21" t="s">
        <v>618</v>
      </c>
      <c r="BW28" s="21" t="s">
        <v>769</v>
      </c>
      <c r="BX28" s="21" t="s">
        <v>770</v>
      </c>
      <c r="BY28" s="31">
        <v>516750</v>
      </c>
      <c r="BZ28" s="31">
        <v>516750</v>
      </c>
      <c r="CA28" t="s">
        <v>744</v>
      </c>
      <c r="CF28" s="31"/>
      <c r="CG28" s="31"/>
      <c r="CM28" s="31"/>
      <c r="CN28" s="31"/>
      <c r="CT28" s="31"/>
      <c r="CU28" s="31"/>
      <c r="CV28" s="31"/>
      <c r="DA28" s="31"/>
      <c r="DB28" s="31"/>
      <c r="DC28" s="31"/>
      <c r="DH28" s="31"/>
      <c r="DI28" s="31"/>
      <c r="DO28" s="31"/>
      <c r="DP28" s="31"/>
      <c r="DR28" t="s">
        <v>246</v>
      </c>
      <c r="DS28" t="s">
        <v>837</v>
      </c>
      <c r="DT28" t="s">
        <v>529</v>
      </c>
      <c r="DU28" s="29" t="s">
        <v>838</v>
      </c>
      <c r="DV28" t="s">
        <v>173</v>
      </c>
      <c r="DW28" t="s">
        <v>366</v>
      </c>
      <c r="DX28" t="s">
        <v>171</v>
      </c>
      <c r="DY28" t="s">
        <v>168</v>
      </c>
      <c r="DZ28" t="s">
        <v>169</v>
      </c>
      <c r="EA28" s="22">
        <v>43077.177256944444</v>
      </c>
      <c r="EB28" t="s">
        <v>773</v>
      </c>
      <c r="EC28" t="s">
        <v>855</v>
      </c>
    </row>
    <row r="29" spans="1:133">
      <c r="A29" s="30"/>
      <c r="B29" s="22">
        <v>42935.536805555559</v>
      </c>
      <c r="C29" s="22" t="s">
        <v>242</v>
      </c>
      <c r="D29" s="30" t="s">
        <v>741</v>
      </c>
      <c r="E29" s="30" t="s">
        <v>528</v>
      </c>
      <c r="F29" s="30" t="s">
        <v>170</v>
      </c>
      <c r="G29" s="30" t="s">
        <v>172</v>
      </c>
      <c r="H29" t="s">
        <v>94</v>
      </c>
      <c r="I29" t="s">
        <v>743</v>
      </c>
      <c r="J29" t="s">
        <v>543</v>
      </c>
      <c r="L29">
        <v>2</v>
      </c>
      <c r="M29" s="26">
        <v>2.04</v>
      </c>
      <c r="N29" t="s">
        <v>248</v>
      </c>
      <c r="O29" t="s">
        <v>208</v>
      </c>
      <c r="Q29" s="29" t="s">
        <v>13</v>
      </c>
      <c r="R29" s="29" t="str">
        <f>IFERROR(MID(RADataTable[[#This Row],[RAtemplate]],1,LEN(RADataTable[[#This Row],[RAtemplate]])-8),"RA") &amp; " " &amp; RADataTable[[#This Row],[prop_id0]] &amp; " " &amp; RADataTable[[#This Row],[last0]]</f>
        <v>RA 1750443 Kol</v>
      </c>
      <c r="U29" s="21" t="str">
        <f>IF(signer1="PD",IF(ISBLANK(RADataTable[[#This Row],[sign_blck_name]]),"",RADataTable[[#This Row],[sign_blck_name]]),IF(ISBLANK(signer1),"",signer1))</f>
        <v>Tracy J. Kimbrel</v>
      </c>
      <c r="V29" s="29" t="str">
        <f>signer2</f>
        <v>Cognizant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gillat.kol@gmail.com</v>
      </c>
      <c r="Y29" s="15" t="str">
        <f>HYPERLINK("mailto:"&amp;RADataTable[[#This Row],[allPIemail]]&amp;"&amp;subject=NSF Proposal:  "&amp;RADataTable[[#This Row],[Div]]&amp;" "&amp;RADataTable[[#This Row],[prop_id0]], "PIs@")</f>
        <v>PIs@</v>
      </c>
      <c r="Z29" t="s">
        <v>742</v>
      </c>
      <c r="AA29" t="s">
        <v>1665</v>
      </c>
      <c r="AB29">
        <v>9</v>
      </c>
      <c r="AC29">
        <v>9</v>
      </c>
      <c r="AD29"/>
      <c r="AE29" s="21" t="str">
        <f>IF(RADataTable[[#This Row],[maxScore]]-RADataTable[[#This Row],[minScore]]&gt;4,"Y","")</f>
        <v/>
      </c>
      <c r="AF29" s="21">
        <v>5</v>
      </c>
      <c r="AG29" s="26">
        <v>6.2222222222222223</v>
      </c>
      <c r="AH29">
        <v>9</v>
      </c>
      <c r="AI29" t="s">
        <v>2405</v>
      </c>
      <c r="AJ29" s="30">
        <v>43059.575694444444</v>
      </c>
      <c r="AK29" s="13">
        <v>550000</v>
      </c>
      <c r="AL29" s="13">
        <v>550000</v>
      </c>
      <c r="AM29">
        <v>0</v>
      </c>
      <c r="AN29" s="30">
        <v>43132</v>
      </c>
      <c r="AO29" s="21">
        <v>60</v>
      </c>
      <c r="AP29" s="21" t="s">
        <v>2406</v>
      </c>
      <c r="AS29" s="30"/>
      <c r="AT29" t="s">
        <v>1669</v>
      </c>
      <c r="AU29" s="21" t="s">
        <v>249</v>
      </c>
      <c r="AV29" s="21">
        <v>10</v>
      </c>
      <c r="AW29" s="21" t="s">
        <v>2653</v>
      </c>
      <c r="AX29" s="30">
        <v>43046</v>
      </c>
      <c r="AY29" s="21" t="s">
        <v>2654</v>
      </c>
      <c r="AZ29" s="21" t="s">
        <v>2655</v>
      </c>
      <c r="BA29" s="21">
        <v>9</v>
      </c>
      <c r="BC29" s="21" t="s">
        <v>619</v>
      </c>
      <c r="BD29" s="21" t="s">
        <v>207</v>
      </c>
      <c r="BE29" s="21">
        <v>4</v>
      </c>
      <c r="BF29" s="21" t="s">
        <v>852</v>
      </c>
      <c r="BG29" s="30">
        <v>43060</v>
      </c>
      <c r="BH29" s="21" t="s">
        <v>862</v>
      </c>
      <c r="BI29" s="21" t="s">
        <v>854</v>
      </c>
      <c r="BJ29" s="21">
        <v>12</v>
      </c>
      <c r="BP29" s="30"/>
      <c r="BU29" t="s">
        <v>1665</v>
      </c>
      <c r="BV29" s="21" t="s">
        <v>1666</v>
      </c>
      <c r="BW29" s="21" t="s">
        <v>2404</v>
      </c>
      <c r="BX29" s="21" t="s">
        <v>2209</v>
      </c>
      <c r="BY29" s="31">
        <v>550000</v>
      </c>
      <c r="BZ29" s="31">
        <v>550000</v>
      </c>
      <c r="CA29" t="s">
        <v>2365</v>
      </c>
      <c r="CF29" s="31"/>
      <c r="CG29" s="31"/>
      <c r="CM29" s="31"/>
      <c r="CN29" s="31"/>
      <c r="CT29" s="31"/>
      <c r="CU29" s="31"/>
      <c r="CV29" s="31"/>
      <c r="DA29" s="31"/>
      <c r="DB29" s="31"/>
      <c r="DC29" s="31"/>
      <c r="DH29" s="31"/>
      <c r="DI29" s="31"/>
      <c r="DO29" s="31"/>
      <c r="DP29" s="31"/>
      <c r="DR29" t="s">
        <v>246</v>
      </c>
      <c r="DS29" t="s">
        <v>837</v>
      </c>
      <c r="DT29" t="s">
        <v>529</v>
      </c>
      <c r="DU29" s="29" t="s">
        <v>850</v>
      </c>
      <c r="DV29" t="s">
        <v>173</v>
      </c>
      <c r="DW29" t="s">
        <v>366</v>
      </c>
      <c r="DX29" t="s">
        <v>171</v>
      </c>
      <c r="DY29" t="s">
        <v>168</v>
      </c>
      <c r="DZ29" t="s">
        <v>169</v>
      </c>
      <c r="EA29" s="22">
        <v>43077.177256944444</v>
      </c>
      <c r="EB29" t="s">
        <v>2407</v>
      </c>
      <c r="EC29" t="s">
        <v>2656</v>
      </c>
    </row>
    <row r="30" spans="1:133">
      <c r="A30" s="30"/>
      <c r="B30" s="22">
        <v>42955.429861111108</v>
      </c>
      <c r="C30" s="22" t="s">
        <v>808</v>
      </c>
      <c r="D30" s="30" t="s">
        <v>741</v>
      </c>
      <c r="E30" s="30" t="s">
        <v>526</v>
      </c>
      <c r="F30" s="30" t="s">
        <v>170</v>
      </c>
      <c r="G30" s="30" t="s">
        <v>172</v>
      </c>
      <c r="H30" t="s">
        <v>94</v>
      </c>
      <c r="I30" t="s">
        <v>809</v>
      </c>
      <c r="J30" t="s">
        <v>1530</v>
      </c>
      <c r="L30">
        <v>1</v>
      </c>
      <c r="M30" s="26">
        <v>2.04</v>
      </c>
      <c r="N30" t="s">
        <v>208</v>
      </c>
      <c r="Q30" s="29" t="s">
        <v>13</v>
      </c>
      <c r="R30" s="29" t="str">
        <f>IFERROR(MID(RADataTable[[#This Row],[RAtemplate]],1,LEN(RADataTable[[#This Row],[RAtemplate]])-8),"RA") &amp; " " &amp; RADataTable[[#This Row],[prop_id0]] &amp; " " &amp; RADataTable[[#This Row],[last0]]</f>
        <v>RA 1755548 Zhou</v>
      </c>
      <c r="U30" s="21" t="str">
        <f>IF(signer1="PD",IF(ISBLANK(RADataTable[[#This Row],[sign_blck_name]]),"",RADataTable[[#This Row],[sign_blck_name]]),IF(ISBLANK(signer1),"",signer1))</f>
        <v>Rahul Shah</v>
      </c>
      <c r="V30" s="29" t="str">
        <f>signer2</f>
        <v>Cognizant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yzhoucs@indiana.edu</v>
      </c>
      <c r="Y30" s="15" t="str">
        <f>HYPERLINK("mailto:"&amp;RADataTable[[#This Row],[allPIemail]]&amp;"&amp;subject=NSF Proposal:  "&amp;RADataTable[[#This Row],[Div]]&amp;" "&amp;RADataTable[[#This Row],[prop_id0]], "PIs@")</f>
        <v>PIs@</v>
      </c>
      <c r="Z30" t="s">
        <v>742</v>
      </c>
      <c r="AA30" t="s">
        <v>1860</v>
      </c>
      <c r="AB30">
        <v>3</v>
      </c>
      <c r="AC30">
        <v>3</v>
      </c>
      <c r="AD30"/>
      <c r="AE30" s="21" t="str">
        <f>IF(RADataTable[[#This Row],[maxScore]]-RADataTable[[#This Row],[minScore]]&gt;4,"Y","")</f>
        <v/>
      </c>
      <c r="AF30" s="21">
        <v>5</v>
      </c>
      <c r="AG30" s="26">
        <v>6</v>
      </c>
      <c r="AH30">
        <v>7</v>
      </c>
      <c r="AI30" t="s">
        <v>2189</v>
      </c>
      <c r="AJ30" s="30">
        <v>43060.397916666669</v>
      </c>
      <c r="AK30" s="13">
        <v>174974</v>
      </c>
      <c r="AL30" s="13">
        <v>174974</v>
      </c>
      <c r="AM30">
        <v>0</v>
      </c>
      <c r="AN30" s="30">
        <v>43101</v>
      </c>
      <c r="AO30" s="21">
        <v>24</v>
      </c>
      <c r="AP30" s="21" t="s">
        <v>2483</v>
      </c>
      <c r="AS30" s="30"/>
      <c r="AT30" t="s">
        <v>619</v>
      </c>
      <c r="AU30" s="21" t="s">
        <v>207</v>
      </c>
      <c r="AV30" s="21">
        <v>4</v>
      </c>
      <c r="AW30" s="21" t="s">
        <v>852</v>
      </c>
      <c r="AX30" s="30">
        <v>43060</v>
      </c>
      <c r="AY30" s="21" t="s">
        <v>2567</v>
      </c>
      <c r="AZ30" s="21" t="s">
        <v>854</v>
      </c>
      <c r="BA30" s="21">
        <v>12</v>
      </c>
      <c r="BG30" s="30"/>
      <c r="BP30" s="30"/>
      <c r="BU30" t="s">
        <v>1860</v>
      </c>
      <c r="BV30" s="21" t="s">
        <v>1861</v>
      </c>
      <c r="BW30" s="21" t="s">
        <v>2482</v>
      </c>
      <c r="BX30" s="21" t="s">
        <v>2078</v>
      </c>
      <c r="BY30" s="31">
        <v>174974</v>
      </c>
      <c r="BZ30" s="31">
        <v>174974</v>
      </c>
      <c r="CA30" t="s">
        <v>810</v>
      </c>
      <c r="CF30" s="31"/>
      <c r="CG30" s="31"/>
      <c r="CM30" s="31"/>
      <c r="CN30" s="31"/>
      <c r="CT30" s="31"/>
      <c r="CU30" s="31"/>
      <c r="CV30" s="31"/>
      <c r="DA30" s="31"/>
      <c r="DB30" s="31"/>
      <c r="DC30" s="31"/>
      <c r="DH30" s="31"/>
      <c r="DI30" s="31"/>
      <c r="DO30" s="31"/>
      <c r="DP30" s="31"/>
      <c r="DR30" t="s">
        <v>869</v>
      </c>
      <c r="DS30" t="s">
        <v>837</v>
      </c>
      <c r="DT30" t="s">
        <v>527</v>
      </c>
      <c r="DU30" s="29" t="s">
        <v>2627</v>
      </c>
      <c r="DV30" t="s">
        <v>173</v>
      </c>
      <c r="DW30" t="s">
        <v>366</v>
      </c>
      <c r="DX30" t="s">
        <v>171</v>
      </c>
      <c r="DY30" t="s">
        <v>168</v>
      </c>
      <c r="DZ30" t="s">
        <v>169</v>
      </c>
      <c r="EA30" s="22">
        <v>43077.177256944444</v>
      </c>
      <c r="EB30" t="s">
        <v>2484</v>
      </c>
      <c r="EC30" t="s">
        <v>2690</v>
      </c>
    </row>
    <row r="31" spans="1:133">
      <c r="A31" s="30">
        <v>42955.654189814813</v>
      </c>
      <c r="B31" s="22">
        <v>42809.649305555555</v>
      </c>
      <c r="C31" s="22" t="s">
        <v>1965</v>
      </c>
      <c r="D31" s="30" t="s">
        <v>741</v>
      </c>
      <c r="E31" s="30" t="s">
        <v>901</v>
      </c>
      <c r="F31" s="30" t="s">
        <v>170</v>
      </c>
      <c r="G31" s="30" t="s">
        <v>1966</v>
      </c>
      <c r="H31" t="s">
        <v>94</v>
      </c>
      <c r="I31" t="s">
        <v>1967</v>
      </c>
      <c r="J31" t="s">
        <v>942</v>
      </c>
      <c r="K31" s="22">
        <v>42955.527268518519</v>
      </c>
      <c r="L31">
        <v>1</v>
      </c>
      <c r="M31" s="26">
        <v>2.0499999999999998</v>
      </c>
      <c r="N31" t="s">
        <v>176</v>
      </c>
      <c r="Q31" s="29" t="s">
        <v>13</v>
      </c>
      <c r="R31" s="29" t="str">
        <f>IFERROR(MID(RADataTable[[#This Row],[RAtemplate]],1,LEN(RADataTable[[#This Row],[RAtemplate]])-8),"RA") &amp; " " &amp; RADataTable[[#This Row],[prop_id0]] &amp; " " &amp; RADataTable[[#This Row],[last0]]</f>
        <v>RA 1740801 Phillips</v>
      </c>
      <c r="U31" s="21" t="str">
        <f>IF(signer1="PD",IF(ISBLANK(RADataTable[[#This Row],[sign_blck_name]]),"",RADataTable[[#This Row],[sign_blck_name]]),IF(ISBLANK(signer1),"",signer1))</f>
        <v>Nandini Kannan</v>
      </c>
      <c r="V31" s="29" t="str">
        <f>signer2</f>
        <v>Cognizant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jeffp@cs.utah.edu</v>
      </c>
      <c r="Y31" s="15" t="str">
        <f>HYPERLINK("mailto:"&amp;RADataTable[[#This Row],[allPIemail]]&amp;"&amp;subject=NSF Proposal:  "&amp;RADataTable[[#This Row],[Div]]&amp;" "&amp;RADataTable[[#This Row],[prop_id0]], "PIs@")</f>
        <v>PIs@</v>
      </c>
      <c r="Z31" t="s">
        <v>742</v>
      </c>
      <c r="AA31" t="s">
        <v>1222</v>
      </c>
      <c r="AB31">
        <v>3</v>
      </c>
      <c r="AD31"/>
      <c r="AE31" s="21" t="str">
        <f>IF(RADataTable[[#This Row],[maxScore]]-RADataTable[[#This Row],[minScore]]&gt;4,"Y","")</f>
        <v/>
      </c>
      <c r="AF31" s="21">
        <v>5</v>
      </c>
      <c r="AG31" s="26">
        <v>6.333333333333333</v>
      </c>
      <c r="AH31">
        <v>7</v>
      </c>
      <c r="AI31" t="s">
        <v>2194</v>
      </c>
      <c r="AJ31" s="30">
        <v>42884.185416666667</v>
      </c>
      <c r="AK31" s="13">
        <v>1500000</v>
      </c>
      <c r="AL31" s="13">
        <v>1500000</v>
      </c>
      <c r="AM31">
        <v>0</v>
      </c>
      <c r="AN31" s="30">
        <v>42979</v>
      </c>
      <c r="AO31" s="21">
        <v>36</v>
      </c>
      <c r="AP31" s="21" t="s">
        <v>2195</v>
      </c>
      <c r="AS31" s="30"/>
      <c r="AT31" t="s">
        <v>943</v>
      </c>
      <c r="AU31" s="21" t="s">
        <v>1004</v>
      </c>
      <c r="AV31" s="21">
        <v>5</v>
      </c>
      <c r="AW31" s="21" t="s">
        <v>2521</v>
      </c>
      <c r="AX31" s="30">
        <v>42878</v>
      </c>
      <c r="AY31" s="21" t="s">
        <v>2569</v>
      </c>
      <c r="AZ31" s="21" t="s">
        <v>2523</v>
      </c>
      <c r="BA31" s="21">
        <v>12</v>
      </c>
      <c r="BB31" s="21">
        <v>1</v>
      </c>
      <c r="BG31" s="30"/>
      <c r="BP31" s="30"/>
      <c r="BU31" t="s">
        <v>1222</v>
      </c>
      <c r="BV31" s="21" t="s">
        <v>1223</v>
      </c>
      <c r="BW31" s="21" t="s">
        <v>2013</v>
      </c>
      <c r="BX31" s="21" t="s">
        <v>2193</v>
      </c>
      <c r="BY31" s="31">
        <v>1500000</v>
      </c>
      <c r="BZ31" s="31">
        <v>1500000</v>
      </c>
      <c r="CA31" t="s">
        <v>1968</v>
      </c>
      <c r="CF31" s="31"/>
      <c r="CG31" s="31"/>
      <c r="CM31" s="31"/>
      <c r="CN31" s="31"/>
      <c r="CT31" s="31"/>
      <c r="CU31" s="31"/>
      <c r="CV31" s="31"/>
      <c r="DA31" s="31"/>
      <c r="DB31" s="31"/>
      <c r="DC31" s="31"/>
      <c r="DH31" s="31"/>
      <c r="DI31" s="31"/>
      <c r="DO31" s="31"/>
      <c r="DP31" s="31"/>
      <c r="DR31" t="s">
        <v>2519</v>
      </c>
      <c r="DS31" t="s">
        <v>837</v>
      </c>
      <c r="DT31" t="s">
        <v>902</v>
      </c>
      <c r="DU31" s="29" t="s">
        <v>2531</v>
      </c>
      <c r="DV31" t="s">
        <v>1971</v>
      </c>
      <c r="DW31" t="s">
        <v>366</v>
      </c>
      <c r="DX31" t="s">
        <v>171</v>
      </c>
      <c r="DY31" t="s">
        <v>168</v>
      </c>
      <c r="DZ31" t="s">
        <v>169</v>
      </c>
      <c r="EA31" s="22">
        <v>43077.177256944444</v>
      </c>
      <c r="EB31" t="s">
        <v>2196</v>
      </c>
      <c r="EC31" t="s">
        <v>2570</v>
      </c>
    </row>
    <row r="32" spans="1:133">
      <c r="A32" s="30"/>
      <c r="B32" s="22">
        <v>42935.374305555553</v>
      </c>
      <c r="C32" s="22" t="s">
        <v>242</v>
      </c>
      <c r="D32" s="30" t="s">
        <v>741</v>
      </c>
      <c r="E32" s="30" t="s">
        <v>528</v>
      </c>
      <c r="F32" s="30" t="s">
        <v>170</v>
      </c>
      <c r="G32" s="30" t="s">
        <v>172</v>
      </c>
      <c r="H32" t="s">
        <v>94</v>
      </c>
      <c r="I32" t="s">
        <v>743</v>
      </c>
      <c r="J32" t="s">
        <v>1530</v>
      </c>
      <c r="L32">
        <v>1</v>
      </c>
      <c r="M32" s="26">
        <v>2.0499999999999998</v>
      </c>
      <c r="N32" t="s">
        <v>208</v>
      </c>
      <c r="Q32" s="29" t="s">
        <v>13</v>
      </c>
      <c r="R32" s="29" t="str">
        <f>IFERROR(MID(RADataTable[[#This Row],[RAtemplate]],1,LEN(RADataTable[[#This Row],[RAtemplate]])-8),"RA") &amp; " " &amp; RADataTable[[#This Row],[prop_id0]] &amp; " " &amp; RADataTable[[#This Row],[last0]]</f>
        <v>RA 1750127 Nagarajan</v>
      </c>
      <c r="U32" s="21" t="str">
        <f>IF(signer1="PD",IF(ISBLANK(RADataTable[[#This Row],[sign_blck_name]]),"",RADataTable[[#This Row],[sign_blck_name]]),IF(ISBLANK(signer1),"",signer1))</f>
        <v>Rahul Shah</v>
      </c>
      <c r="V32" s="29" t="str">
        <f>signer2</f>
        <v>Cognizant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viswa@umich.edu</v>
      </c>
      <c r="Y32" s="15" t="str">
        <f>HYPERLINK("mailto:"&amp;RADataTable[[#This Row],[allPIemail]]&amp;"&amp;subject=NSF Proposal:  "&amp;RADataTable[[#This Row],[Div]]&amp;" "&amp;RADataTable[[#This Row],[prop_id0]], "PIs@")</f>
        <v>PIs@</v>
      </c>
      <c r="Z32" t="s">
        <v>742</v>
      </c>
      <c r="AA32" t="s">
        <v>1616</v>
      </c>
      <c r="AB32">
        <v>4</v>
      </c>
      <c r="AC32">
        <v>4</v>
      </c>
      <c r="AD32"/>
      <c r="AE32" s="21" t="str">
        <f>IF(RADataTable[[#This Row],[maxScore]]-RADataTable[[#This Row],[minScore]]&gt;4,"Y","")</f>
        <v/>
      </c>
      <c r="AF32" s="21">
        <v>5</v>
      </c>
      <c r="AG32" s="26">
        <v>7</v>
      </c>
      <c r="AH32">
        <v>9</v>
      </c>
      <c r="AI32" t="s">
        <v>2367</v>
      </c>
      <c r="AJ32" s="30">
        <v>43032.519444444442</v>
      </c>
      <c r="AK32" s="13">
        <v>524840</v>
      </c>
      <c r="AL32" s="13">
        <v>524840</v>
      </c>
      <c r="AM32">
        <v>0</v>
      </c>
      <c r="AN32" s="30">
        <v>43221</v>
      </c>
      <c r="AO32" s="21">
        <v>60</v>
      </c>
      <c r="AP32" s="21" t="s">
        <v>2382</v>
      </c>
      <c r="AS32" s="30"/>
      <c r="AT32" t="s">
        <v>544</v>
      </c>
      <c r="AU32" s="21" t="s">
        <v>207</v>
      </c>
      <c r="AV32" s="21">
        <v>5</v>
      </c>
      <c r="AW32" s="21" t="s">
        <v>839</v>
      </c>
      <c r="AX32" s="30">
        <v>43032</v>
      </c>
      <c r="AY32" s="21" t="s">
        <v>2631</v>
      </c>
      <c r="AZ32" s="21" t="s">
        <v>841</v>
      </c>
      <c r="BA32" s="21">
        <v>14</v>
      </c>
      <c r="BG32" s="30"/>
      <c r="BP32" s="30"/>
      <c r="BU32" t="s">
        <v>1616</v>
      </c>
      <c r="BV32" s="21" t="s">
        <v>1617</v>
      </c>
      <c r="BW32" s="21" t="s">
        <v>2381</v>
      </c>
      <c r="BX32" s="21" t="s">
        <v>342</v>
      </c>
      <c r="BY32" s="31">
        <v>524840</v>
      </c>
      <c r="BZ32" s="31">
        <v>524840</v>
      </c>
      <c r="CA32" t="s">
        <v>250</v>
      </c>
      <c r="CF32" s="31"/>
      <c r="CG32" s="31"/>
      <c r="CM32" s="31"/>
      <c r="CN32" s="31"/>
      <c r="CT32" s="31"/>
      <c r="CU32" s="31"/>
      <c r="CV32" s="31"/>
      <c r="DA32" s="31"/>
      <c r="DB32" s="31"/>
      <c r="DC32" s="31"/>
      <c r="DH32" s="31"/>
      <c r="DI32" s="31"/>
      <c r="DO32" s="31"/>
      <c r="DP32" s="31"/>
      <c r="DR32" t="s">
        <v>246</v>
      </c>
      <c r="DS32" t="s">
        <v>837</v>
      </c>
      <c r="DT32" t="s">
        <v>529</v>
      </c>
      <c r="DU32" s="29" t="s">
        <v>2627</v>
      </c>
      <c r="DV32" t="s">
        <v>173</v>
      </c>
      <c r="DW32" t="s">
        <v>366</v>
      </c>
      <c r="DX32" t="s">
        <v>171</v>
      </c>
      <c r="DY32" t="s">
        <v>168</v>
      </c>
      <c r="DZ32" t="s">
        <v>169</v>
      </c>
      <c r="EA32" s="22">
        <v>43077.177256944444</v>
      </c>
      <c r="EB32" t="s">
        <v>2383</v>
      </c>
      <c r="EC32" t="s">
        <v>2642</v>
      </c>
    </row>
    <row r="33" spans="1:133">
      <c r="A33" s="30">
        <v>42934.47079861111</v>
      </c>
      <c r="B33" s="22">
        <v>42809.65902777778</v>
      </c>
      <c r="C33" s="22" t="s">
        <v>1965</v>
      </c>
      <c r="D33" s="30" t="s">
        <v>741</v>
      </c>
      <c r="E33" s="30" t="s">
        <v>901</v>
      </c>
      <c r="F33" s="30" t="s">
        <v>170</v>
      </c>
      <c r="G33" s="30" t="s">
        <v>1966</v>
      </c>
      <c r="H33" t="s">
        <v>94</v>
      </c>
      <c r="I33" t="s">
        <v>1967</v>
      </c>
      <c r="J33" t="s">
        <v>540</v>
      </c>
      <c r="K33" s="22">
        <v>42920.123148148145</v>
      </c>
      <c r="L33">
        <v>1</v>
      </c>
      <c r="M33" s="26">
        <v>2.06</v>
      </c>
      <c r="N33" t="s">
        <v>176</v>
      </c>
      <c r="Q33" s="29" t="s">
        <v>13</v>
      </c>
      <c r="R33" s="29" t="str">
        <f>IFERROR(MID(RADataTable[[#This Row],[RAtemplate]],1,LEN(RADataTable[[#This Row],[RAtemplate]])-8),"RA") &amp; " " &amp; RADataTable[[#This Row],[prop_id0]] &amp; " " &amp; RADataTable[[#This Row],[last0]]</f>
        <v>RA 1740807 Abbe</v>
      </c>
      <c r="U33" s="21" t="str">
        <f>IF(signer1="PD",IF(ISBLANK(RADataTable[[#This Row],[sign_blck_name]]),"",RADataTable[[#This Row],[sign_blck_name]]),IF(ISBLANK(signer1),"",signer1))</f>
        <v>Jack Snoeyink</v>
      </c>
      <c r="V33" s="29" t="str">
        <f>signer2</f>
        <v>Cognizant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eabbe@princeton.edu</v>
      </c>
      <c r="Y33" s="15" t="str">
        <f>HYPERLINK("mailto:"&amp;RADataTable[[#This Row],[allPIemail]]&amp;"&amp;subject=NSF Proposal:  "&amp;RADataTable[[#This Row],[Div]]&amp;" "&amp;RADataTable[[#This Row],[prop_id0]], "PIs@")</f>
        <v>PIs@</v>
      </c>
      <c r="Z33" t="s">
        <v>742</v>
      </c>
      <c r="AA33" t="s">
        <v>1248</v>
      </c>
      <c r="AB33">
        <v>3</v>
      </c>
      <c r="AD33"/>
      <c r="AE33" s="21" t="str">
        <f>IF(RADataTable[[#This Row],[maxScore]]-RADataTable[[#This Row],[minScore]]&gt;4,"Y","")</f>
        <v/>
      </c>
      <c r="AF33" s="21">
        <v>6</v>
      </c>
      <c r="AG33" s="26">
        <v>7</v>
      </c>
      <c r="AH33">
        <v>8</v>
      </c>
      <c r="AI33" t="s">
        <v>2104</v>
      </c>
      <c r="AJ33" s="30">
        <v>42872.395833333336</v>
      </c>
      <c r="AK33" s="13">
        <v>1500000</v>
      </c>
      <c r="AL33" s="13">
        <v>1500000</v>
      </c>
      <c r="AM33">
        <v>0</v>
      </c>
      <c r="AN33" s="30">
        <v>42979</v>
      </c>
      <c r="AO33" s="21">
        <v>36</v>
      </c>
      <c r="AP33" s="21" t="s">
        <v>2210</v>
      </c>
      <c r="AS33" s="30"/>
      <c r="AT33" t="s">
        <v>919</v>
      </c>
      <c r="AU33" s="21" t="s">
        <v>1004</v>
      </c>
      <c r="AV33" s="21">
        <v>6</v>
      </c>
      <c r="AW33" s="21" t="s">
        <v>2517</v>
      </c>
      <c r="AX33" s="30">
        <v>42872</v>
      </c>
      <c r="AY33" s="21" t="s">
        <v>2548</v>
      </c>
      <c r="AZ33" s="21" t="s">
        <v>2518</v>
      </c>
      <c r="BA33" s="21">
        <v>12</v>
      </c>
      <c r="BG33" s="30"/>
      <c r="BP33" s="30"/>
      <c r="BU33" t="s">
        <v>1248</v>
      </c>
      <c r="BV33" s="21" t="s">
        <v>1249</v>
      </c>
      <c r="BW33" s="21" t="s">
        <v>2208</v>
      </c>
      <c r="BX33" s="21" t="s">
        <v>2209</v>
      </c>
      <c r="BY33" s="31">
        <v>1500000</v>
      </c>
      <c r="BZ33" s="31">
        <v>1500000</v>
      </c>
      <c r="CA33" t="s">
        <v>1968</v>
      </c>
      <c r="CF33" s="31"/>
      <c r="CG33" s="31"/>
      <c r="CM33" s="31"/>
      <c r="CN33" s="31"/>
      <c r="CT33" s="31"/>
      <c r="CU33" s="31"/>
      <c r="CV33" s="31"/>
      <c r="DA33" s="31"/>
      <c r="DB33" s="31"/>
      <c r="DC33" s="31"/>
      <c r="DH33" s="31"/>
      <c r="DI33" s="31"/>
      <c r="DO33" s="31"/>
      <c r="DP33" s="31"/>
      <c r="DR33" t="s">
        <v>2519</v>
      </c>
      <c r="DS33" t="s">
        <v>837</v>
      </c>
      <c r="DT33" t="s">
        <v>902</v>
      </c>
      <c r="DU33" s="29" t="s">
        <v>838</v>
      </c>
      <c r="DV33" t="s">
        <v>1971</v>
      </c>
      <c r="DW33" t="s">
        <v>366</v>
      </c>
      <c r="DX33" t="s">
        <v>171</v>
      </c>
      <c r="DY33" t="s">
        <v>168</v>
      </c>
      <c r="DZ33" t="s">
        <v>169</v>
      </c>
      <c r="EA33" s="22">
        <v>43077.177256944444</v>
      </c>
      <c r="EB33" t="s">
        <v>2211</v>
      </c>
      <c r="EC33" t="s">
        <v>2575</v>
      </c>
    </row>
    <row r="34" spans="1:133">
      <c r="A34" s="30">
        <v>42930.588136574072</v>
      </c>
      <c r="B34" s="22">
        <v>42809.806944444441</v>
      </c>
      <c r="C34" s="22" t="s">
        <v>1965</v>
      </c>
      <c r="D34" s="30" t="s">
        <v>741</v>
      </c>
      <c r="E34" s="30" t="s">
        <v>901</v>
      </c>
      <c r="F34" s="30" t="s">
        <v>170</v>
      </c>
      <c r="G34" s="30" t="s">
        <v>1974</v>
      </c>
      <c r="H34" t="s">
        <v>94</v>
      </c>
      <c r="I34" t="s">
        <v>1967</v>
      </c>
      <c r="J34" t="s">
        <v>543</v>
      </c>
      <c r="K34" s="22">
        <v>42928.658391203702</v>
      </c>
      <c r="L34">
        <v>1</v>
      </c>
      <c r="M34" s="26">
        <v>2.06</v>
      </c>
      <c r="N34" t="s">
        <v>176</v>
      </c>
      <c r="Q34" s="29" t="s">
        <v>13</v>
      </c>
      <c r="R34" s="29" t="str">
        <f>IFERROR(MID(RADataTable[[#This Row],[RAtemplate]],1,LEN(RADataTable[[#This Row],[RAtemplate]])-8),"RA") &amp; " " &amp; RADataTable[[#This Row],[prop_id0]] &amp; " " &amp; RADataTable[[#This Row],[last0]]</f>
        <v>RA 1740858 Zhang</v>
      </c>
      <c r="U34" s="21" t="str">
        <f>IF(signer1="PD",IF(ISBLANK(RADataTable[[#This Row],[sign_blck_name]]),"",RADataTable[[#This Row],[sign_blck_name]]),IF(ISBLANK(signer1),"",signer1))</f>
        <v>Tracy J. Kimbrel</v>
      </c>
      <c r="V34" s="29" t="str">
        <f>signer2</f>
        <v>Cognizant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hzhang@math.arizona.edu</v>
      </c>
      <c r="Y34" s="15" t="str">
        <f>HYPERLINK("mailto:"&amp;RADataTable[[#This Row],[allPIemail]]&amp;"&amp;subject=NSF Proposal:  "&amp;RADataTable[[#This Row],[Div]]&amp;" "&amp;RADataTable[[#This Row],[prop_id0]], "PIs@")</f>
        <v>PIs@</v>
      </c>
      <c r="Z34" t="s">
        <v>742</v>
      </c>
      <c r="AA34" t="s">
        <v>1465</v>
      </c>
      <c r="AB34">
        <v>3</v>
      </c>
      <c r="AD34"/>
      <c r="AE34" s="21" t="str">
        <f>IF(RADataTable[[#This Row],[maxScore]]-RADataTable[[#This Row],[minScore]]&gt;4,"Y","")</f>
        <v/>
      </c>
      <c r="AF34" s="21">
        <v>5</v>
      </c>
      <c r="AG34" s="26">
        <v>5.666666666666667</v>
      </c>
      <c r="AH34">
        <v>7</v>
      </c>
      <c r="AI34" t="s">
        <v>2248</v>
      </c>
      <c r="AJ34" s="30">
        <v>42884.15347222222</v>
      </c>
      <c r="AK34" s="13">
        <v>1499999</v>
      </c>
      <c r="AL34" s="13">
        <v>1368498</v>
      </c>
      <c r="AM34">
        <v>1</v>
      </c>
      <c r="AN34" s="30">
        <v>42948</v>
      </c>
      <c r="AO34" s="21">
        <v>36</v>
      </c>
      <c r="AP34" s="21" t="s">
        <v>2332</v>
      </c>
      <c r="AS34" s="30"/>
      <c r="AT34" t="s">
        <v>943</v>
      </c>
      <c r="AU34" s="21" t="s">
        <v>1004</v>
      </c>
      <c r="AV34" s="21">
        <v>6</v>
      </c>
      <c r="AW34" s="21" t="s">
        <v>2521</v>
      </c>
      <c r="AX34" s="30">
        <v>42878</v>
      </c>
      <c r="AY34" s="21" t="s">
        <v>2588</v>
      </c>
      <c r="AZ34" s="21" t="s">
        <v>2523</v>
      </c>
      <c r="BA34" s="21">
        <v>12</v>
      </c>
      <c r="BG34" s="30"/>
      <c r="BP34" s="30"/>
      <c r="BU34" t="s">
        <v>1465</v>
      </c>
      <c r="BV34" s="21" t="s">
        <v>1019</v>
      </c>
      <c r="BW34" s="21" t="s">
        <v>2330</v>
      </c>
      <c r="BX34" s="21" t="s">
        <v>2331</v>
      </c>
      <c r="BY34" s="31">
        <v>1499999</v>
      </c>
      <c r="BZ34" s="31">
        <v>1368498</v>
      </c>
      <c r="CA34" t="s">
        <v>1968</v>
      </c>
      <c r="CF34" s="31"/>
      <c r="CG34" s="31"/>
      <c r="CM34" s="31"/>
      <c r="CN34" s="31"/>
      <c r="CT34" s="31"/>
      <c r="CU34" s="31"/>
      <c r="CV34" s="31"/>
      <c r="DA34" s="31"/>
      <c r="DB34" s="31"/>
      <c r="DC34" s="31"/>
      <c r="DH34" s="31"/>
      <c r="DI34" s="31"/>
      <c r="DO34" s="31"/>
      <c r="DP34" s="31"/>
      <c r="DR34" t="s">
        <v>2519</v>
      </c>
      <c r="DS34" t="s">
        <v>837</v>
      </c>
      <c r="DT34" t="s">
        <v>902</v>
      </c>
      <c r="DU34" s="29" t="s">
        <v>850</v>
      </c>
      <c r="DV34" t="s">
        <v>1977</v>
      </c>
      <c r="DW34" t="s">
        <v>366</v>
      </c>
      <c r="DX34" t="s">
        <v>171</v>
      </c>
      <c r="DY34" t="s">
        <v>168</v>
      </c>
      <c r="DZ34" t="s">
        <v>169</v>
      </c>
      <c r="EA34" s="22">
        <v>43077.177256944444</v>
      </c>
      <c r="EB34" t="s">
        <v>2333</v>
      </c>
      <c r="EC34" t="s">
        <v>2615</v>
      </c>
    </row>
    <row r="35" spans="1:133">
      <c r="A35" s="30"/>
      <c r="B35" s="22">
        <v>42934.524305555555</v>
      </c>
      <c r="C35" s="22" t="s">
        <v>242</v>
      </c>
      <c r="D35" s="30" t="s">
        <v>741</v>
      </c>
      <c r="E35" s="30" t="s">
        <v>528</v>
      </c>
      <c r="F35" s="30" t="s">
        <v>170</v>
      </c>
      <c r="G35" s="30" t="s">
        <v>172</v>
      </c>
      <c r="H35" t="s">
        <v>94</v>
      </c>
      <c r="I35" t="s">
        <v>743</v>
      </c>
      <c r="J35" t="s">
        <v>543</v>
      </c>
      <c r="L35">
        <v>1</v>
      </c>
      <c r="M35" s="26">
        <v>2.06</v>
      </c>
      <c r="N35" t="s">
        <v>208</v>
      </c>
      <c r="Q35" s="29" t="s">
        <v>13</v>
      </c>
      <c r="R35" s="29" t="str">
        <f>IFERROR(MID(RADataTable[[#This Row],[RAtemplate]],1,LEN(RADataTable[[#This Row],[RAtemplate]])-8),"RA") &amp; " " &amp; RADataTable[[#This Row],[prop_id0]] &amp; " " &amp; RADataTable[[#This Row],[last0]]</f>
        <v>RA 1749748 Chandrasekaran</v>
      </c>
      <c r="U35" s="21" t="str">
        <f>IF(signer1="PD",IF(ISBLANK(RADataTable[[#This Row],[sign_blck_name]]),"",RADataTable[[#This Row],[sign_blck_name]]),IF(ISBLANK(signer1),"",signer1))</f>
        <v>Tracy J. Kimbrel</v>
      </c>
      <c r="V35" s="29" t="str">
        <f>signer2</f>
        <v>Cognizant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karthe@illinois.edu</v>
      </c>
      <c r="Y35" s="15" t="str">
        <f>HYPERLINK("mailto:"&amp;RADataTable[[#This Row],[allPIemail]]&amp;"&amp;subject=NSF Proposal:  "&amp;RADataTable[[#This Row],[Div]]&amp;" "&amp;RADataTable[[#This Row],[prop_id0]], "PIs@")</f>
        <v>PIs@</v>
      </c>
      <c r="Z35" t="s">
        <v>742</v>
      </c>
      <c r="AA35" t="s">
        <v>603</v>
      </c>
      <c r="AB35">
        <v>4</v>
      </c>
      <c r="AC35">
        <v>4</v>
      </c>
      <c r="AD35"/>
      <c r="AE35" s="21" t="str">
        <f>IF(RADataTable[[#This Row],[maxScore]]-RADataTable[[#This Row],[minScore]]&gt;4,"Y","")</f>
        <v/>
      </c>
      <c r="AF35" s="21">
        <v>5</v>
      </c>
      <c r="AG35" s="26">
        <v>6.75</v>
      </c>
      <c r="AH35">
        <v>8</v>
      </c>
      <c r="AI35" t="s">
        <v>766</v>
      </c>
      <c r="AJ35" s="30">
        <v>43030.722916666666</v>
      </c>
      <c r="AK35" s="13">
        <v>446040</v>
      </c>
      <c r="AL35" s="13">
        <v>446040</v>
      </c>
      <c r="AM35">
        <v>0</v>
      </c>
      <c r="AN35" s="30">
        <v>43115</v>
      </c>
      <c r="AO35" s="21">
        <v>60</v>
      </c>
      <c r="AP35" s="21" t="s">
        <v>767</v>
      </c>
      <c r="AS35" s="30"/>
      <c r="AT35" t="s">
        <v>544</v>
      </c>
      <c r="AU35" s="21" t="s">
        <v>207</v>
      </c>
      <c r="AV35" s="21">
        <v>6</v>
      </c>
      <c r="AW35" s="21" t="s">
        <v>839</v>
      </c>
      <c r="AX35" s="30">
        <v>43032</v>
      </c>
      <c r="AY35" s="21" t="s">
        <v>849</v>
      </c>
      <c r="AZ35" s="21" t="s">
        <v>841</v>
      </c>
      <c r="BA35" s="21">
        <v>14</v>
      </c>
      <c r="BB35" s="21">
        <v>2</v>
      </c>
      <c r="BG35" s="30"/>
      <c r="BP35" s="30"/>
      <c r="BU35" t="s">
        <v>603</v>
      </c>
      <c r="BV35" s="21" t="s">
        <v>604</v>
      </c>
      <c r="BW35" s="21" t="s">
        <v>765</v>
      </c>
      <c r="BX35" s="21" t="s">
        <v>339</v>
      </c>
      <c r="BY35" s="31">
        <v>446040</v>
      </c>
      <c r="BZ35" s="31">
        <v>446040</v>
      </c>
      <c r="CA35" t="s">
        <v>744</v>
      </c>
      <c r="CF35" s="31"/>
      <c r="CG35" s="31"/>
      <c r="CM35" s="31"/>
      <c r="CN35" s="31"/>
      <c r="CT35" s="31"/>
      <c r="CU35" s="31"/>
      <c r="CV35" s="31"/>
      <c r="DA35" s="31"/>
      <c r="DB35" s="31"/>
      <c r="DC35" s="31"/>
      <c r="DH35" s="31"/>
      <c r="DI35" s="31"/>
      <c r="DO35" s="31"/>
      <c r="DP35" s="31"/>
      <c r="DR35" t="s">
        <v>246</v>
      </c>
      <c r="DS35" t="s">
        <v>837</v>
      </c>
      <c r="DT35" t="s">
        <v>529</v>
      </c>
      <c r="DU35" s="29" t="s">
        <v>850</v>
      </c>
      <c r="DV35" t="s">
        <v>173</v>
      </c>
      <c r="DW35" t="s">
        <v>366</v>
      </c>
      <c r="DX35" t="s">
        <v>171</v>
      </c>
      <c r="DY35" t="s">
        <v>168</v>
      </c>
      <c r="DZ35" t="s">
        <v>169</v>
      </c>
      <c r="EA35" s="22">
        <v>43077.177256944444</v>
      </c>
      <c r="EB35" t="s">
        <v>768</v>
      </c>
      <c r="EC35" t="s">
        <v>851</v>
      </c>
    </row>
    <row r="36" spans="1:133">
      <c r="A36" s="30"/>
      <c r="B36" s="22">
        <v>42935.679166666669</v>
      </c>
      <c r="C36" s="22" t="s">
        <v>242</v>
      </c>
      <c r="D36" s="30" t="s">
        <v>741</v>
      </c>
      <c r="E36" s="30" t="s">
        <v>528</v>
      </c>
      <c r="F36" s="30" t="s">
        <v>170</v>
      </c>
      <c r="G36" s="30" t="s">
        <v>172</v>
      </c>
      <c r="H36" t="s">
        <v>94</v>
      </c>
      <c r="I36" t="s">
        <v>743</v>
      </c>
      <c r="J36" t="s">
        <v>543</v>
      </c>
      <c r="L36">
        <v>1</v>
      </c>
      <c r="M36" s="26">
        <v>2.06</v>
      </c>
      <c r="N36" t="s">
        <v>208</v>
      </c>
      <c r="Q36" s="29" t="s">
        <v>13</v>
      </c>
      <c r="R36" s="29" t="str">
        <f>IFERROR(MID(RADataTable[[#This Row],[RAtemplate]],1,LEN(RADataTable[[#This Row],[RAtemplate]])-8),"RA") &amp; " " &amp; RADataTable[[#This Row],[prop_id0]] &amp; " " &amp; RADataTable[[#This Row],[last0]]</f>
        <v>RA 1751040 Price</v>
      </c>
      <c r="U36" s="21" t="str">
        <f>IF(signer1="PD",IF(ISBLANK(RADataTable[[#This Row],[sign_blck_name]]),"",RADataTable[[#This Row],[sign_blck_name]]),IF(ISBLANK(signer1),"",signer1))</f>
        <v>Tracy J. Kimbrel</v>
      </c>
      <c r="V36" s="29" t="str">
        <f>signer2</f>
        <v>Cognizant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ecprice@cs.utexas.edu</v>
      </c>
      <c r="Y36" s="15" t="str">
        <f>HYPERLINK("mailto:"&amp;RADataTable[[#This Row],[allPIemail]]&amp;"&amp;subject=NSF Proposal:  "&amp;RADataTable[[#This Row],[Div]]&amp;" "&amp;RADataTable[[#This Row],[prop_id0]], "PIs@")</f>
        <v>PIs@</v>
      </c>
      <c r="Z36" t="s">
        <v>742</v>
      </c>
      <c r="AA36" t="s">
        <v>1764</v>
      </c>
      <c r="AB36">
        <v>4</v>
      </c>
      <c r="AC36">
        <v>4</v>
      </c>
      <c r="AD36"/>
      <c r="AE36" s="21" t="str">
        <f>IF(RADataTable[[#This Row],[maxScore]]-RADataTable[[#This Row],[minScore]]&gt;4,"Y","")</f>
        <v/>
      </c>
      <c r="AF36" s="21">
        <v>7</v>
      </c>
      <c r="AG36" s="26">
        <v>7.5</v>
      </c>
      <c r="AH36">
        <v>9</v>
      </c>
      <c r="AI36" t="s">
        <v>791</v>
      </c>
      <c r="AJ36" s="30">
        <v>43060.310416666667</v>
      </c>
      <c r="AK36" s="13">
        <v>499575</v>
      </c>
      <c r="AL36" s="13">
        <v>499575</v>
      </c>
      <c r="AM36">
        <v>0</v>
      </c>
      <c r="AN36" s="30">
        <v>43344</v>
      </c>
      <c r="AO36" s="21">
        <v>60</v>
      </c>
      <c r="AP36" s="21" t="s">
        <v>2439</v>
      </c>
      <c r="AS36" s="30"/>
      <c r="AT36" t="s">
        <v>619</v>
      </c>
      <c r="AU36" s="21" t="s">
        <v>207</v>
      </c>
      <c r="AV36" s="21">
        <v>6</v>
      </c>
      <c r="AW36" s="21" t="s">
        <v>852</v>
      </c>
      <c r="AX36" s="30">
        <v>43060</v>
      </c>
      <c r="AY36" s="21" t="s">
        <v>862</v>
      </c>
      <c r="AZ36" s="21" t="s">
        <v>854</v>
      </c>
      <c r="BA36" s="21">
        <v>12</v>
      </c>
      <c r="BB36" s="21">
        <v>2</v>
      </c>
      <c r="BG36" s="30"/>
      <c r="BP36" s="30"/>
      <c r="BU36" t="s">
        <v>1764</v>
      </c>
      <c r="BV36" s="21" t="s">
        <v>1765</v>
      </c>
      <c r="BW36" s="21" t="s">
        <v>2438</v>
      </c>
      <c r="BX36" s="21" t="s">
        <v>799</v>
      </c>
      <c r="BY36" s="31">
        <v>499575</v>
      </c>
      <c r="BZ36" s="31">
        <v>499575</v>
      </c>
      <c r="CA36" t="s">
        <v>744</v>
      </c>
      <c r="CF36" s="31"/>
      <c r="CG36" s="31"/>
      <c r="CM36" s="31"/>
      <c r="CN36" s="31"/>
      <c r="CT36" s="31"/>
      <c r="CU36" s="31"/>
      <c r="CV36" s="31"/>
      <c r="DA36" s="31"/>
      <c r="DB36" s="31"/>
      <c r="DC36" s="31"/>
      <c r="DH36" s="31"/>
      <c r="DI36" s="31"/>
      <c r="DO36" s="31"/>
      <c r="DP36" s="31"/>
      <c r="DR36" t="s">
        <v>246</v>
      </c>
      <c r="DS36" t="s">
        <v>837</v>
      </c>
      <c r="DT36" t="s">
        <v>529</v>
      </c>
      <c r="DU36" s="29" t="s">
        <v>850</v>
      </c>
      <c r="DV36" t="s">
        <v>173</v>
      </c>
      <c r="DW36" t="s">
        <v>366</v>
      </c>
      <c r="DX36" t="s">
        <v>171</v>
      </c>
      <c r="DY36" t="s">
        <v>168</v>
      </c>
      <c r="DZ36" t="s">
        <v>169</v>
      </c>
      <c r="EA36" s="22">
        <v>43077.177256944444</v>
      </c>
      <c r="EB36" t="s">
        <v>2440</v>
      </c>
      <c r="EC36" t="s">
        <v>2672</v>
      </c>
    </row>
    <row r="37" spans="1:133">
      <c r="A37" s="30">
        <v>42957.713506944441</v>
      </c>
      <c r="B37" s="22">
        <v>42807.631944444445</v>
      </c>
      <c r="C37" s="22" t="s">
        <v>1965</v>
      </c>
      <c r="D37" s="30" t="s">
        <v>741</v>
      </c>
      <c r="E37" s="30" t="s">
        <v>901</v>
      </c>
      <c r="F37" s="30" t="s">
        <v>170</v>
      </c>
      <c r="G37" s="30" t="s">
        <v>1966</v>
      </c>
      <c r="H37" t="s">
        <v>94</v>
      </c>
      <c r="I37" t="s">
        <v>1967</v>
      </c>
      <c r="J37" t="s">
        <v>942</v>
      </c>
      <c r="K37" s="22">
        <v>42956.50476851852</v>
      </c>
      <c r="L37">
        <v>1</v>
      </c>
      <c r="M37" s="26">
        <v>2.0699999999999998</v>
      </c>
      <c r="N37" t="s">
        <v>176</v>
      </c>
      <c r="Q37" s="29" t="s">
        <v>13</v>
      </c>
      <c r="R37" s="29" t="str">
        <f>IFERROR(MID(RADataTable[[#This Row],[RAtemplate]],1,LEN(RADataTable[[#This Row],[RAtemplate]])-8),"RA") &amp; " " &amp; RADataTable[[#This Row],[prop_id0]] &amp; " " &amp; RADataTable[[#This Row],[last0]]</f>
        <v>RA 1740584 Gill</v>
      </c>
      <c r="U37" s="21" t="str">
        <f>IF(signer1="PD",IF(ISBLANK(RADataTable[[#This Row],[sign_blck_name]]),"",RADataTable[[#This Row],[sign_blck_name]]),IF(ISBLANK(signer1),"",signer1))</f>
        <v>Nandini Kannan</v>
      </c>
      <c r="V37" s="29" t="str">
        <f>signer2</f>
        <v>Cognizant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jgill@american.edu</v>
      </c>
      <c r="Y37" s="15" t="str">
        <f>HYPERLINK("mailto:"&amp;RADataTable[[#This Row],[allPIemail]]&amp;"&amp;subject=NSF Proposal:  "&amp;RADataTable[[#This Row],[Div]]&amp;" "&amp;RADataTable[[#This Row],[prop_id0]], "PIs@")</f>
        <v>PIs@</v>
      </c>
      <c r="Z37" t="s">
        <v>742</v>
      </c>
      <c r="AA37" t="s">
        <v>1002</v>
      </c>
      <c r="AB37">
        <v>3</v>
      </c>
      <c r="AD37"/>
      <c r="AE37" s="21" t="str">
        <f>IF(RADataTable[[#This Row],[maxScore]]-RADataTable[[#This Row],[minScore]]&gt;4,"Y","")</f>
        <v>Y</v>
      </c>
      <c r="AF37" s="21">
        <v>3</v>
      </c>
      <c r="AG37" s="26">
        <v>6</v>
      </c>
      <c r="AH37">
        <v>9</v>
      </c>
      <c r="AI37" t="s">
        <v>2015</v>
      </c>
      <c r="AJ37" s="30">
        <v>42878.456250000003</v>
      </c>
      <c r="AK37" s="13">
        <v>1499631</v>
      </c>
      <c r="AL37" s="13">
        <v>1499631</v>
      </c>
      <c r="AM37">
        <v>0</v>
      </c>
      <c r="AN37" s="30">
        <v>43009</v>
      </c>
      <c r="AO37" s="21">
        <v>36</v>
      </c>
      <c r="AP37" s="21" t="s">
        <v>2016</v>
      </c>
      <c r="AS37" s="30"/>
      <c r="AT37" t="s">
        <v>943</v>
      </c>
      <c r="AU37" s="21" t="s">
        <v>1004</v>
      </c>
      <c r="AV37" s="21">
        <v>7</v>
      </c>
      <c r="AW37" s="21" t="s">
        <v>2521</v>
      </c>
      <c r="AX37" s="30">
        <v>42878</v>
      </c>
      <c r="AY37" s="21" t="s">
        <v>2530</v>
      </c>
      <c r="AZ37" s="21" t="s">
        <v>2523</v>
      </c>
      <c r="BA37" s="21">
        <v>12</v>
      </c>
      <c r="BG37" s="30"/>
      <c r="BP37" s="30"/>
      <c r="BU37" t="s">
        <v>1002</v>
      </c>
      <c r="BV37" s="21" t="s">
        <v>1003</v>
      </c>
      <c r="BW37" s="21" t="s">
        <v>2013</v>
      </c>
      <c r="BX37" s="21" t="s">
        <v>2014</v>
      </c>
      <c r="BY37" s="31">
        <v>792573</v>
      </c>
      <c r="BZ37" s="31">
        <v>792573</v>
      </c>
      <c r="CA37" t="s">
        <v>1995</v>
      </c>
      <c r="CB37" s="21" t="s">
        <v>1007</v>
      </c>
      <c r="CC37" s="21" t="s">
        <v>892</v>
      </c>
      <c r="CD37" s="21" t="s">
        <v>894</v>
      </c>
      <c r="CE37" s="21" t="s">
        <v>895</v>
      </c>
      <c r="CF37" s="31">
        <v>707058</v>
      </c>
      <c r="CG37" s="31">
        <v>707058</v>
      </c>
      <c r="CH37" t="s">
        <v>1995</v>
      </c>
      <c r="CM37" s="31"/>
      <c r="CN37" s="31"/>
      <c r="CT37" s="31"/>
      <c r="CU37" s="31"/>
      <c r="CV37" s="31"/>
      <c r="DA37" s="31"/>
      <c r="DB37" s="31"/>
      <c r="DC37" s="31"/>
      <c r="DH37" s="31"/>
      <c r="DI37" s="31"/>
      <c r="DO37" s="31"/>
      <c r="DP37" s="31"/>
      <c r="DR37" t="s">
        <v>2519</v>
      </c>
      <c r="DS37" t="s">
        <v>837</v>
      </c>
      <c r="DT37" t="s">
        <v>902</v>
      </c>
      <c r="DU37" s="29" t="s">
        <v>2531</v>
      </c>
      <c r="DV37" t="s">
        <v>1971</v>
      </c>
      <c r="DW37" t="s">
        <v>366</v>
      </c>
      <c r="DX37" t="s">
        <v>171</v>
      </c>
      <c r="DY37" t="s">
        <v>168</v>
      </c>
      <c r="DZ37" t="s">
        <v>169</v>
      </c>
      <c r="EA37" s="22">
        <v>43077.177256944444</v>
      </c>
      <c r="EB37" t="s">
        <v>2017</v>
      </c>
      <c r="EC37" t="s">
        <v>2532</v>
      </c>
    </row>
    <row r="38" spans="1:133">
      <c r="A38" s="30">
        <v>42957.72111111111</v>
      </c>
      <c r="B38" s="22">
        <v>42809.545138888891</v>
      </c>
      <c r="C38" s="22" t="s">
        <v>1965</v>
      </c>
      <c r="D38" s="30" t="s">
        <v>741</v>
      </c>
      <c r="E38" s="30" t="s">
        <v>901</v>
      </c>
      <c r="F38" s="30" t="s">
        <v>170</v>
      </c>
      <c r="G38" s="30" t="s">
        <v>1966</v>
      </c>
      <c r="H38" t="s">
        <v>94</v>
      </c>
      <c r="I38" t="s">
        <v>1967</v>
      </c>
      <c r="J38" t="s">
        <v>948</v>
      </c>
      <c r="K38" s="22">
        <v>42957.368842592594</v>
      </c>
      <c r="L38">
        <v>1</v>
      </c>
      <c r="M38" s="26">
        <v>2.0699999999999998</v>
      </c>
      <c r="N38" t="s">
        <v>176</v>
      </c>
      <c r="Q38" s="29" t="s">
        <v>13</v>
      </c>
      <c r="R38" s="29" t="str">
        <f>IFERROR(MID(RADataTable[[#This Row],[RAtemplate]],1,LEN(RADataTable[[#This Row],[RAtemplate]])-8),"RA") &amp; " " &amp; RADataTable[[#This Row],[prop_id0]] &amp; " " &amp; RADataTable[[#This Row],[last0]]</f>
        <v>RA 1740759 Gilbert</v>
      </c>
      <c r="U38" s="21" t="str">
        <f>IF(signer1="PD",IF(ISBLANK(RADataTable[[#This Row],[sign_blck_name]]),"",RADataTable[[#This Row],[sign_blck_name]]),IF(ISBLANK(signer1),"",signer1))</f>
        <v>Christopher W. Stark</v>
      </c>
      <c r="V38" s="29" t="str">
        <f>signer2</f>
        <v>Cognizant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annacg@umich.edu</v>
      </c>
      <c r="Y38" s="15" t="str">
        <f>HYPERLINK("mailto:"&amp;RADataTable[[#This Row],[allPIemail]]&amp;"&amp;subject=NSF Proposal:  "&amp;RADataTable[[#This Row],[Div]]&amp;" "&amp;RADataTable[[#This Row],[prop_id0]], "PIs@")</f>
        <v>PIs@</v>
      </c>
      <c r="Z38" t="s">
        <v>742</v>
      </c>
      <c r="AA38" t="s">
        <v>1140</v>
      </c>
      <c r="AB38">
        <v>3</v>
      </c>
      <c r="AD38"/>
      <c r="AE38" s="21" t="str">
        <f>IF(RADataTable[[#This Row],[maxScore]]-RADataTable[[#This Row],[minScore]]&gt;4,"Y","")</f>
        <v/>
      </c>
      <c r="AF38" s="21">
        <v>5</v>
      </c>
      <c r="AG38" s="26">
        <v>6.666666666666667</v>
      </c>
      <c r="AH38">
        <v>9</v>
      </c>
      <c r="AI38" t="s">
        <v>2114</v>
      </c>
      <c r="AJ38" s="30">
        <v>42884.165277777778</v>
      </c>
      <c r="AK38" s="13">
        <v>1500000</v>
      </c>
      <c r="AL38" s="13">
        <v>1500000</v>
      </c>
      <c r="AM38">
        <v>0</v>
      </c>
      <c r="AN38" s="30">
        <v>42979</v>
      </c>
      <c r="AO38" s="21">
        <v>36</v>
      </c>
      <c r="AP38" s="21" t="s">
        <v>2115</v>
      </c>
      <c r="AS38" s="30"/>
      <c r="AT38" t="s">
        <v>943</v>
      </c>
      <c r="AU38" s="21" t="s">
        <v>1004</v>
      </c>
      <c r="AV38" s="21">
        <v>7</v>
      </c>
      <c r="AW38" s="21" t="s">
        <v>2521</v>
      </c>
      <c r="AX38" s="30">
        <v>42878</v>
      </c>
      <c r="AY38" s="21" t="s">
        <v>2552</v>
      </c>
      <c r="AZ38" s="21" t="s">
        <v>2523</v>
      </c>
      <c r="BA38" s="21">
        <v>12</v>
      </c>
      <c r="BG38" s="30"/>
      <c r="BP38" s="30"/>
      <c r="BU38" t="s">
        <v>1140</v>
      </c>
      <c r="BV38" s="21" t="s">
        <v>1141</v>
      </c>
      <c r="BW38" s="21" t="s">
        <v>2113</v>
      </c>
      <c r="BX38" s="21" t="s">
        <v>342</v>
      </c>
      <c r="BY38" s="31">
        <v>1063465</v>
      </c>
      <c r="BZ38" s="31">
        <v>1063465</v>
      </c>
      <c r="CA38" t="s">
        <v>2007</v>
      </c>
      <c r="CB38" s="21" t="s">
        <v>2117</v>
      </c>
      <c r="CC38" s="21" t="s">
        <v>2118</v>
      </c>
      <c r="CD38" s="21" t="s">
        <v>2100</v>
      </c>
      <c r="CE38" s="21" t="s">
        <v>2119</v>
      </c>
      <c r="CF38" s="31">
        <v>436535</v>
      </c>
      <c r="CG38" s="31">
        <v>436535</v>
      </c>
      <c r="CH38" t="s">
        <v>2007</v>
      </c>
      <c r="CM38" s="31"/>
      <c r="CN38" s="31"/>
      <c r="CT38" s="31"/>
      <c r="CU38" s="31"/>
      <c r="CV38" s="31"/>
      <c r="DA38" s="31"/>
      <c r="DB38" s="31"/>
      <c r="DC38" s="31"/>
      <c r="DH38" s="31"/>
      <c r="DI38" s="31"/>
      <c r="DO38" s="31"/>
      <c r="DP38" s="31"/>
      <c r="DR38" t="s">
        <v>2519</v>
      </c>
      <c r="DS38" t="s">
        <v>837</v>
      </c>
      <c r="DT38" t="s">
        <v>902</v>
      </c>
      <c r="DU38" s="29" t="s">
        <v>2524</v>
      </c>
      <c r="DV38" t="s">
        <v>1971</v>
      </c>
      <c r="DW38" t="s">
        <v>366</v>
      </c>
      <c r="DX38" t="s">
        <v>171</v>
      </c>
      <c r="DY38" t="s">
        <v>168</v>
      </c>
      <c r="DZ38" t="s">
        <v>169</v>
      </c>
      <c r="EA38" s="22">
        <v>43077.177256944444</v>
      </c>
      <c r="EB38" t="s">
        <v>2116</v>
      </c>
      <c r="EC38" t="s">
        <v>2553</v>
      </c>
    </row>
    <row r="39" spans="1:133">
      <c r="A39" s="30">
        <v>42934.469247685185</v>
      </c>
      <c r="B39" s="22">
        <v>42809.688888888886</v>
      </c>
      <c r="C39" s="22" t="s">
        <v>1965</v>
      </c>
      <c r="D39" s="30" t="s">
        <v>741</v>
      </c>
      <c r="E39" s="30" t="s">
        <v>901</v>
      </c>
      <c r="F39" s="30" t="s">
        <v>170</v>
      </c>
      <c r="G39" s="30" t="s">
        <v>1966</v>
      </c>
      <c r="H39" t="s">
        <v>94</v>
      </c>
      <c r="I39" t="s">
        <v>1967</v>
      </c>
      <c r="J39" t="s">
        <v>540</v>
      </c>
      <c r="K39" s="22">
        <v>42920.120162037034</v>
      </c>
      <c r="L39">
        <v>1</v>
      </c>
      <c r="M39" s="26">
        <v>2.0699999999999998</v>
      </c>
      <c r="N39" t="s">
        <v>176</v>
      </c>
      <c r="Q39" s="29" t="s">
        <v>13</v>
      </c>
      <c r="R39" s="29" t="str">
        <f>IFERROR(MID(RADataTable[[#This Row],[RAtemplate]],1,LEN(RADataTable[[#This Row],[RAtemplate]])-8),"RA") &amp; " " &amp; RADataTable[[#This Row],[prop_id0]] &amp; " " &amp; RADataTable[[#This Row],[last0]]</f>
        <v>RA 1740825 Fernandez Granda</v>
      </c>
      <c r="U39" s="21" t="str">
        <f>IF(signer1="PD",IF(ISBLANK(RADataTable[[#This Row],[sign_blck_name]]),"",RADataTable[[#This Row],[sign_blck_name]]),IF(ISBLANK(signer1),"",signer1))</f>
        <v>Jack Snoeyink</v>
      </c>
      <c r="V39" s="29" t="str">
        <f>signer2</f>
        <v>Cognizant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cfg3@nyu.edu</v>
      </c>
      <c r="Y39" s="15" t="str">
        <f>HYPERLINK("mailto:"&amp;RADataTable[[#This Row],[allPIemail]]&amp;"&amp;subject=NSF Proposal:  "&amp;RADataTable[[#This Row],[Div]]&amp;" "&amp;RADataTable[[#This Row],[prop_id0]], "PIs@")</f>
        <v>PIs@</v>
      </c>
      <c r="Z39" t="s">
        <v>742</v>
      </c>
      <c r="AA39" t="s">
        <v>1331</v>
      </c>
      <c r="AB39">
        <v>3</v>
      </c>
      <c r="AD39"/>
      <c r="AE39" s="21" t="str">
        <f>IF(RADataTable[[#This Row],[maxScore]]-RADataTable[[#This Row],[minScore]]&gt;4,"Y","")</f>
        <v/>
      </c>
      <c r="AF39" s="21">
        <v>5</v>
      </c>
      <c r="AG39" s="26">
        <v>6.333333333333333</v>
      </c>
      <c r="AH39">
        <v>8</v>
      </c>
      <c r="AI39" t="s">
        <v>2072</v>
      </c>
      <c r="AJ39" s="30">
        <v>42873.537499999999</v>
      </c>
      <c r="AK39" s="13">
        <v>1473414</v>
      </c>
      <c r="AL39" s="13">
        <v>1473414</v>
      </c>
      <c r="AM39">
        <v>0</v>
      </c>
      <c r="AN39" s="30">
        <v>42979</v>
      </c>
      <c r="AO39" s="21">
        <v>36</v>
      </c>
      <c r="AP39" s="21" t="s">
        <v>2262</v>
      </c>
      <c r="AS39" s="30"/>
      <c r="AT39" t="s">
        <v>919</v>
      </c>
      <c r="AU39" s="21" t="s">
        <v>1004</v>
      </c>
      <c r="AV39" s="21">
        <v>7</v>
      </c>
      <c r="AW39" s="21" t="s">
        <v>2517</v>
      </c>
      <c r="AX39" s="30">
        <v>42872</v>
      </c>
      <c r="AY39" s="21" t="s">
        <v>2542</v>
      </c>
      <c r="AZ39" s="21" t="s">
        <v>2518</v>
      </c>
      <c r="BA39" s="21">
        <v>12</v>
      </c>
      <c r="BG39" s="30"/>
      <c r="BP39" s="30"/>
      <c r="BU39" t="s">
        <v>1331</v>
      </c>
      <c r="BV39" s="21" t="s">
        <v>1332</v>
      </c>
      <c r="BW39" s="21" t="s">
        <v>2261</v>
      </c>
      <c r="BX39" s="21" t="s">
        <v>2222</v>
      </c>
      <c r="BY39" s="31">
        <v>1473414</v>
      </c>
      <c r="BZ39" s="31">
        <v>1473414</v>
      </c>
      <c r="CA39" t="s">
        <v>2007</v>
      </c>
      <c r="CF39" s="31"/>
      <c r="CG39" s="31"/>
      <c r="CM39" s="31"/>
      <c r="CN39" s="31"/>
      <c r="CT39" s="31"/>
      <c r="CU39" s="31"/>
      <c r="CV39" s="31"/>
      <c r="DA39" s="31"/>
      <c r="DB39" s="31"/>
      <c r="DC39" s="31"/>
      <c r="DH39" s="31"/>
      <c r="DI39" s="31"/>
      <c r="DO39" s="31"/>
      <c r="DP39" s="31"/>
      <c r="DR39" t="s">
        <v>2519</v>
      </c>
      <c r="DS39" t="s">
        <v>837</v>
      </c>
      <c r="DT39" t="s">
        <v>902</v>
      </c>
      <c r="DU39" s="29" t="s">
        <v>838</v>
      </c>
      <c r="DV39" t="s">
        <v>1971</v>
      </c>
      <c r="DW39" t="s">
        <v>366</v>
      </c>
      <c r="DX39" t="s">
        <v>171</v>
      </c>
      <c r="DY39" t="s">
        <v>168</v>
      </c>
      <c r="DZ39" t="s">
        <v>169</v>
      </c>
      <c r="EA39" s="22">
        <v>43077.177256944444</v>
      </c>
      <c r="EB39" t="s">
        <v>2263</v>
      </c>
      <c r="EC39" t="s">
        <v>2592</v>
      </c>
    </row>
    <row r="40" spans="1:133">
      <c r="A40" s="30">
        <v>42930.5705787037</v>
      </c>
      <c r="B40" s="22">
        <v>42809.763888888891</v>
      </c>
      <c r="C40" s="22" t="s">
        <v>1965</v>
      </c>
      <c r="D40" s="30" t="s">
        <v>741</v>
      </c>
      <c r="E40" s="30" t="s">
        <v>901</v>
      </c>
      <c r="F40" s="30" t="s">
        <v>170</v>
      </c>
      <c r="G40" s="30" t="s">
        <v>1974</v>
      </c>
      <c r="H40" t="s">
        <v>94</v>
      </c>
      <c r="I40" t="s">
        <v>1967</v>
      </c>
      <c r="J40" t="s">
        <v>942</v>
      </c>
      <c r="K40" s="22">
        <v>42929.536898148152</v>
      </c>
      <c r="L40">
        <v>1</v>
      </c>
      <c r="M40" s="26">
        <v>2.0699999999999998</v>
      </c>
      <c r="N40" t="s">
        <v>176</v>
      </c>
      <c r="Q40" s="29" t="s">
        <v>13</v>
      </c>
      <c r="R40" s="29" t="str">
        <f>IFERROR(MID(RADataTable[[#This Row],[RAtemplate]],1,LEN(RADataTable[[#This Row],[RAtemplate]])-8),"RA") &amp; " " &amp; RADataTable[[#This Row],[prop_id0]] &amp; " " &amp; RADataTable[[#This Row],[last0]]</f>
        <v>RA 1740850 Getoor</v>
      </c>
      <c r="U40" s="21" t="str">
        <f>IF(signer1="PD",IF(ISBLANK(RADataTable[[#This Row],[sign_blck_name]]),"",RADataTable[[#This Row],[sign_blck_name]]),IF(ISBLANK(signer1),"",signer1))</f>
        <v>Nandini Kannan</v>
      </c>
      <c r="V40" s="29" t="str">
        <f>signer2</f>
        <v>Cognizant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getoor@soe.ucsc.edu</v>
      </c>
      <c r="Y40" s="15" t="str">
        <f>HYPERLINK("mailto:"&amp;RADataTable[[#This Row],[allPIemail]]&amp;"&amp;subject=NSF Proposal:  "&amp;RADataTable[[#This Row],[Div]]&amp;" "&amp;RADataTable[[#This Row],[prop_id0]], "PIs@")</f>
        <v>PIs@</v>
      </c>
      <c r="Z40" t="s">
        <v>742</v>
      </c>
      <c r="AA40" t="s">
        <v>1429</v>
      </c>
      <c r="AB40">
        <v>3</v>
      </c>
      <c r="AD40"/>
      <c r="AE40" s="21" t="str">
        <f>IF(RADataTable[[#This Row],[maxScore]]-RADataTable[[#This Row],[minScore]]&gt;4,"Y","")</f>
        <v/>
      </c>
      <c r="AF40" s="21">
        <v>6</v>
      </c>
      <c r="AG40" s="26">
        <v>7.333333333333333</v>
      </c>
      <c r="AH40">
        <v>9</v>
      </c>
      <c r="AI40" t="s">
        <v>2311</v>
      </c>
      <c r="AJ40" s="30">
        <v>42878.400694444441</v>
      </c>
      <c r="AK40" s="13">
        <v>1500000</v>
      </c>
      <c r="AL40" s="13">
        <v>1500000</v>
      </c>
      <c r="AM40">
        <v>0</v>
      </c>
      <c r="AN40" s="30">
        <v>42979</v>
      </c>
      <c r="AO40" s="21">
        <v>36</v>
      </c>
      <c r="AP40" s="21" t="s">
        <v>2312</v>
      </c>
      <c r="AS40" s="30"/>
      <c r="AT40" t="s">
        <v>943</v>
      </c>
      <c r="AU40" s="21" t="s">
        <v>1004</v>
      </c>
      <c r="AV40" s="21">
        <v>7</v>
      </c>
      <c r="AW40" s="21" t="s">
        <v>2521</v>
      </c>
      <c r="AX40" s="30">
        <v>42878</v>
      </c>
      <c r="AY40" s="21" t="s">
        <v>2608</v>
      </c>
      <c r="AZ40" s="21" t="s">
        <v>2523</v>
      </c>
      <c r="BA40" s="21">
        <v>12</v>
      </c>
      <c r="BG40" s="30"/>
      <c r="BP40" s="30"/>
      <c r="BU40" t="s">
        <v>1429</v>
      </c>
      <c r="BV40" s="21" t="s">
        <v>1430</v>
      </c>
      <c r="BW40" s="21" t="s">
        <v>2309</v>
      </c>
      <c r="BX40" s="21" t="s">
        <v>2310</v>
      </c>
      <c r="BY40" s="31">
        <v>1500000</v>
      </c>
      <c r="BZ40" s="31">
        <v>1500000</v>
      </c>
      <c r="CA40" t="s">
        <v>1968</v>
      </c>
      <c r="CF40" s="31"/>
      <c r="CG40" s="31"/>
      <c r="CM40" s="31"/>
      <c r="CN40" s="31"/>
      <c r="CT40" s="31"/>
      <c r="CU40" s="31"/>
      <c r="CV40" s="31"/>
      <c r="DA40" s="31"/>
      <c r="DB40" s="31"/>
      <c r="DC40" s="31"/>
      <c r="DH40" s="31"/>
      <c r="DI40" s="31"/>
      <c r="DO40" s="31"/>
      <c r="DP40" s="31"/>
      <c r="DR40" t="s">
        <v>2519</v>
      </c>
      <c r="DS40" t="s">
        <v>837</v>
      </c>
      <c r="DT40" t="s">
        <v>902</v>
      </c>
      <c r="DU40" s="29" t="s">
        <v>2531</v>
      </c>
      <c r="DV40" t="s">
        <v>1977</v>
      </c>
      <c r="DW40" t="s">
        <v>366</v>
      </c>
      <c r="DX40" t="s">
        <v>171</v>
      </c>
      <c r="DY40" t="s">
        <v>168</v>
      </c>
      <c r="DZ40" t="s">
        <v>169</v>
      </c>
      <c r="EA40" s="22">
        <v>43077.177256944444</v>
      </c>
      <c r="EB40" t="s">
        <v>2313</v>
      </c>
      <c r="EC40" t="s">
        <v>2609</v>
      </c>
    </row>
    <row r="41" spans="1:133">
      <c r="A41" s="30"/>
      <c r="B41" s="22">
        <v>42934.507638888892</v>
      </c>
      <c r="C41" s="22" t="s">
        <v>242</v>
      </c>
      <c r="D41" s="30" t="s">
        <v>741</v>
      </c>
      <c r="E41" s="30" t="s">
        <v>528</v>
      </c>
      <c r="F41" s="30" t="s">
        <v>170</v>
      </c>
      <c r="G41" s="30" t="s">
        <v>172</v>
      </c>
      <c r="H41" t="s">
        <v>94</v>
      </c>
      <c r="I41" t="s">
        <v>743</v>
      </c>
      <c r="J41" t="s">
        <v>1530</v>
      </c>
      <c r="L41">
        <v>1</v>
      </c>
      <c r="M41" s="26">
        <v>2.0699999999999998</v>
      </c>
      <c r="N41" t="s">
        <v>208</v>
      </c>
      <c r="Q41" s="29" t="s">
        <v>13</v>
      </c>
      <c r="R41" s="29" t="str">
        <f>IFERROR(MID(RADataTable[[#This Row],[RAtemplate]],1,LEN(RADataTable[[#This Row],[RAtemplate]])-8),"RA") &amp; " " &amp; RADataTable[[#This Row],[prop_id0]] &amp; " " &amp; RADataTable[[#This Row],[last0]]</f>
        <v>RA 1749734 Sidford</v>
      </c>
      <c r="U41" s="21" t="str">
        <f>IF(signer1="PD",IF(ISBLANK(RADataTable[[#This Row],[sign_blck_name]]),"",RADataTable[[#This Row],[sign_blck_name]]),IF(ISBLANK(signer1),"",signer1))</f>
        <v>Rahul Shah</v>
      </c>
      <c r="V41" s="29" t="str">
        <f>signer2</f>
        <v>Cognizant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sidford@stanford.edu</v>
      </c>
      <c r="Y41" s="15" t="str">
        <f>HYPERLINK("mailto:"&amp;RADataTable[[#This Row],[allPIemail]]&amp;"&amp;subject=NSF Proposal:  "&amp;RADataTable[[#This Row],[Div]]&amp;" "&amp;RADataTable[[#This Row],[prop_id0]], "PIs@")</f>
        <v>PIs@</v>
      </c>
      <c r="Z41" t="s">
        <v>742</v>
      </c>
      <c r="AA41" t="s">
        <v>1540</v>
      </c>
      <c r="AB41">
        <v>4</v>
      </c>
      <c r="AC41">
        <v>4</v>
      </c>
      <c r="AD41"/>
      <c r="AE41" s="21" t="str">
        <f>IF(RADataTable[[#This Row],[maxScore]]-RADataTable[[#This Row],[minScore]]&gt;4,"Y","")</f>
        <v/>
      </c>
      <c r="AF41" s="21">
        <v>7</v>
      </c>
      <c r="AG41" s="26">
        <v>7.5</v>
      </c>
      <c r="AH41">
        <v>9</v>
      </c>
      <c r="AI41" t="s">
        <v>791</v>
      </c>
      <c r="AJ41" s="30">
        <v>43032.515277777777</v>
      </c>
      <c r="AK41" s="13">
        <v>500000</v>
      </c>
      <c r="AL41" s="13">
        <v>500000</v>
      </c>
      <c r="AM41">
        <v>0</v>
      </c>
      <c r="AN41" s="30">
        <v>43009</v>
      </c>
      <c r="AO41" s="21">
        <v>60</v>
      </c>
      <c r="AP41" s="21" t="s">
        <v>2363</v>
      </c>
      <c r="AS41" s="30"/>
      <c r="AT41" t="s">
        <v>544</v>
      </c>
      <c r="AU41" s="21" t="s">
        <v>207</v>
      </c>
      <c r="AV41" s="21">
        <v>7</v>
      </c>
      <c r="AW41" s="21" t="s">
        <v>839</v>
      </c>
      <c r="AX41" s="30">
        <v>43032</v>
      </c>
      <c r="AY41" s="21" t="s">
        <v>862</v>
      </c>
      <c r="AZ41" s="21" t="s">
        <v>841</v>
      </c>
      <c r="BA41" s="21">
        <v>14</v>
      </c>
      <c r="BB41" s="21">
        <v>1</v>
      </c>
      <c r="BG41" s="30"/>
      <c r="BP41" s="30"/>
      <c r="BU41" t="s">
        <v>1540</v>
      </c>
      <c r="BV41" s="21" t="s">
        <v>1541</v>
      </c>
      <c r="BW41" s="21" t="s">
        <v>2362</v>
      </c>
      <c r="BX41" s="21" t="s">
        <v>2035</v>
      </c>
      <c r="BY41" s="31">
        <v>500000</v>
      </c>
      <c r="BZ41" s="31">
        <v>500000</v>
      </c>
      <c r="CA41" t="s">
        <v>250</v>
      </c>
      <c r="CF41" s="31"/>
      <c r="CG41" s="31"/>
      <c r="CM41" s="31"/>
      <c r="CN41" s="31"/>
      <c r="CT41" s="31"/>
      <c r="CU41" s="31"/>
      <c r="CV41" s="31"/>
      <c r="DA41" s="31"/>
      <c r="DB41" s="31"/>
      <c r="DC41" s="31"/>
      <c r="DH41" s="31"/>
      <c r="DI41" s="31"/>
      <c r="DO41" s="31"/>
      <c r="DP41" s="31"/>
      <c r="DR41" t="s">
        <v>246</v>
      </c>
      <c r="DS41" t="s">
        <v>837</v>
      </c>
      <c r="DT41" t="s">
        <v>529</v>
      </c>
      <c r="DU41" s="29" t="s">
        <v>2627</v>
      </c>
      <c r="DV41" t="s">
        <v>173</v>
      </c>
      <c r="DW41" t="s">
        <v>366</v>
      </c>
      <c r="DX41" t="s">
        <v>171</v>
      </c>
      <c r="DY41" t="s">
        <v>168</v>
      </c>
      <c r="DZ41" t="s">
        <v>169</v>
      </c>
      <c r="EA41" s="22">
        <v>43077.177256944444</v>
      </c>
      <c r="EB41" t="s">
        <v>2364</v>
      </c>
      <c r="EC41" t="s">
        <v>2630</v>
      </c>
    </row>
    <row r="42" spans="1:133">
      <c r="A42" s="30"/>
      <c r="B42" s="22">
        <v>42934.524305555555</v>
      </c>
      <c r="C42" s="22" t="s">
        <v>242</v>
      </c>
      <c r="D42" s="30" t="s">
        <v>741</v>
      </c>
      <c r="E42" s="30" t="s">
        <v>528</v>
      </c>
      <c r="F42" s="30" t="s">
        <v>170</v>
      </c>
      <c r="G42" s="30" t="s">
        <v>172</v>
      </c>
      <c r="H42" t="s">
        <v>94</v>
      </c>
      <c r="I42" t="s">
        <v>743</v>
      </c>
      <c r="J42" t="s">
        <v>543</v>
      </c>
      <c r="L42">
        <v>1</v>
      </c>
      <c r="M42" s="26">
        <v>2.0699999999999998</v>
      </c>
      <c r="N42" t="s">
        <v>208</v>
      </c>
      <c r="Q42" s="29" t="s">
        <v>13</v>
      </c>
      <c r="R42" s="29" t="str">
        <f>IFERROR(MID(RADataTable[[#This Row],[RAtemplate]],1,LEN(RADataTable[[#This Row],[RAtemplate]])-8),"RA") &amp; " " &amp; RADataTable[[#This Row],[prop_id0]] &amp; " " &amp; RADataTable[[#This Row],[last0]]</f>
        <v>RA 1749747 Weinstein</v>
      </c>
      <c r="U42" s="21" t="str">
        <f>IF(signer1="PD",IF(ISBLANK(RADataTable[[#This Row],[sign_blck_name]]),"",RADataTable[[#This Row],[sign_blck_name]]),IF(ISBLANK(signer1),"",signer1))</f>
        <v>Tracy J. Kimbrel</v>
      </c>
      <c r="V42" s="29" t="str">
        <f>signer2</f>
        <v>Cognizant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omri@cs.columbia.edu</v>
      </c>
      <c r="Y42" s="15" t="str">
        <f>HYPERLINK("mailto:"&amp;RADataTable[[#This Row],[allPIemail]]&amp;"&amp;subject=NSF Proposal:  "&amp;RADataTable[[#This Row],[Div]]&amp;" "&amp;RADataTable[[#This Row],[prop_id0]], "PIs@")</f>
        <v>PIs@</v>
      </c>
      <c r="Z42" t="s">
        <v>742</v>
      </c>
      <c r="AA42" t="s">
        <v>1547</v>
      </c>
      <c r="AB42">
        <v>4</v>
      </c>
      <c r="AC42">
        <v>4</v>
      </c>
      <c r="AD42"/>
      <c r="AE42" s="21" t="str">
        <f>IF(RADataTable[[#This Row],[maxScore]]-RADataTable[[#This Row],[minScore]]&gt;4,"Y","")</f>
        <v/>
      </c>
      <c r="AF42" s="21">
        <v>5</v>
      </c>
      <c r="AG42" s="26">
        <v>7</v>
      </c>
      <c r="AH42">
        <v>9</v>
      </c>
      <c r="AI42" t="s">
        <v>2367</v>
      </c>
      <c r="AJ42" s="30">
        <v>43059.920138888891</v>
      </c>
      <c r="AK42" s="13">
        <v>400000</v>
      </c>
      <c r="AL42" s="13">
        <v>400000</v>
      </c>
      <c r="AM42">
        <v>0</v>
      </c>
      <c r="AN42" s="30">
        <v>42979</v>
      </c>
      <c r="AO42" s="21">
        <v>60</v>
      </c>
      <c r="AP42" s="21" t="s">
        <v>2368</v>
      </c>
      <c r="AS42" s="30"/>
      <c r="AT42" t="s">
        <v>619</v>
      </c>
      <c r="AU42" s="21" t="s">
        <v>207</v>
      </c>
      <c r="AV42" s="21">
        <v>7</v>
      </c>
      <c r="AW42" s="21" t="s">
        <v>852</v>
      </c>
      <c r="AX42" s="30">
        <v>43060</v>
      </c>
      <c r="AY42" s="21" t="s">
        <v>2631</v>
      </c>
      <c r="AZ42" s="21" t="s">
        <v>854</v>
      </c>
      <c r="BA42" s="21">
        <v>12</v>
      </c>
      <c r="BG42" s="30"/>
      <c r="BP42" s="30"/>
      <c r="BU42" t="s">
        <v>1547</v>
      </c>
      <c r="BV42" s="21" t="s">
        <v>1548</v>
      </c>
      <c r="BW42" s="21" t="s">
        <v>2366</v>
      </c>
      <c r="BX42" s="21" t="s">
        <v>2101</v>
      </c>
      <c r="BY42" s="31">
        <v>400000</v>
      </c>
      <c r="BZ42" s="31">
        <v>400000</v>
      </c>
      <c r="CA42" t="s">
        <v>2365</v>
      </c>
      <c r="CF42" s="31"/>
      <c r="CG42" s="31"/>
      <c r="CM42" s="31"/>
      <c r="CN42" s="31"/>
      <c r="CT42" s="31"/>
      <c r="CU42" s="31"/>
      <c r="CV42" s="31"/>
      <c r="DA42" s="31"/>
      <c r="DB42" s="31"/>
      <c r="DC42" s="31"/>
      <c r="DH42" s="31"/>
      <c r="DI42" s="31"/>
      <c r="DO42" s="31"/>
      <c r="DP42" s="31"/>
      <c r="DR42" t="s">
        <v>246</v>
      </c>
      <c r="DS42" t="s">
        <v>837</v>
      </c>
      <c r="DT42" t="s">
        <v>529</v>
      </c>
      <c r="DU42" s="29" t="s">
        <v>850</v>
      </c>
      <c r="DV42" t="s">
        <v>173</v>
      </c>
      <c r="DW42" t="s">
        <v>366</v>
      </c>
      <c r="DX42" t="s">
        <v>171</v>
      </c>
      <c r="DY42" t="s">
        <v>168</v>
      </c>
      <c r="DZ42" t="s">
        <v>169</v>
      </c>
      <c r="EA42" s="22">
        <v>43077.177256944444</v>
      </c>
      <c r="EB42" t="s">
        <v>2369</v>
      </c>
      <c r="EC42" t="s">
        <v>2632</v>
      </c>
    </row>
    <row r="43" spans="1:133">
      <c r="A43" s="30"/>
      <c r="B43" s="22">
        <v>42934.734722222223</v>
      </c>
      <c r="C43" s="22" t="s">
        <v>242</v>
      </c>
      <c r="D43" s="30" t="s">
        <v>741</v>
      </c>
      <c r="E43" s="30" t="s">
        <v>528</v>
      </c>
      <c r="F43" s="30" t="s">
        <v>170</v>
      </c>
      <c r="G43" s="30" t="s">
        <v>172</v>
      </c>
      <c r="H43" t="s">
        <v>94</v>
      </c>
      <c r="I43" t="s">
        <v>743</v>
      </c>
      <c r="J43" t="s">
        <v>543</v>
      </c>
      <c r="L43">
        <v>1</v>
      </c>
      <c r="M43" s="26">
        <v>2.0699999999999998</v>
      </c>
      <c r="N43" t="s">
        <v>208</v>
      </c>
      <c r="Q43" s="29" t="s">
        <v>13</v>
      </c>
      <c r="R43" s="29" t="str">
        <f>IFERROR(MID(RADataTable[[#This Row],[RAtemplate]],1,LEN(RADataTable[[#This Row],[RAtemplate]])-8),"RA") &amp; " " &amp; RADataTable[[#This Row],[prop_id0]] &amp; " " &amp; RADataTable[[#This Row],[last0]]</f>
        <v>RA 1750032 Thaler</v>
      </c>
      <c r="U43" s="21" t="str">
        <f>IF(signer1="PD",IF(ISBLANK(RADataTable[[#This Row],[sign_blck_name]]),"",RADataTable[[#This Row],[sign_blck_name]]),IF(ISBLANK(signer1),"",signer1))</f>
        <v>Tracy J. Kimbrel</v>
      </c>
      <c r="V43" s="29" t="str">
        <f>signer2</f>
        <v>Cognizant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jt1157@georgetown.edu</v>
      </c>
      <c r="Y43" s="15" t="str">
        <f>HYPERLINK("mailto:"&amp;RADataTable[[#This Row],[allPIemail]]&amp;"&amp;subject=NSF Proposal:  "&amp;RADataTable[[#This Row],[Div]]&amp;" "&amp;RADataTable[[#This Row],[prop_id0]], "PIs@")</f>
        <v>PIs@</v>
      </c>
      <c r="Z43" t="s">
        <v>742</v>
      </c>
      <c r="AA43" t="s">
        <v>1560</v>
      </c>
      <c r="AB43">
        <v>4</v>
      </c>
      <c r="AC43">
        <v>4</v>
      </c>
      <c r="AD43"/>
      <c r="AE43" s="21" t="str">
        <f>IF(RADataTable[[#This Row],[maxScore]]-RADataTable[[#This Row],[minScore]]&gt;4,"Y","")</f>
        <v/>
      </c>
      <c r="AF43" s="21">
        <v>6</v>
      </c>
      <c r="AG43" s="26">
        <v>6.75</v>
      </c>
      <c r="AH43">
        <v>7</v>
      </c>
      <c r="AI43" t="s">
        <v>805</v>
      </c>
      <c r="AJ43" s="30">
        <v>43059.936805555553</v>
      </c>
      <c r="AK43" s="13">
        <v>525636</v>
      </c>
      <c r="AL43" s="13">
        <v>525636</v>
      </c>
      <c r="AM43">
        <v>0</v>
      </c>
      <c r="AN43" s="30">
        <v>43252</v>
      </c>
      <c r="AO43" s="21">
        <v>60</v>
      </c>
      <c r="AP43" s="21" t="s">
        <v>2370</v>
      </c>
      <c r="AS43" s="30"/>
      <c r="AT43" t="s">
        <v>619</v>
      </c>
      <c r="AU43" s="21" t="s">
        <v>207</v>
      </c>
      <c r="AV43" s="21">
        <v>7</v>
      </c>
      <c r="AW43" s="21" t="s">
        <v>852</v>
      </c>
      <c r="AX43" s="30">
        <v>43060</v>
      </c>
      <c r="AY43" s="21" t="s">
        <v>866</v>
      </c>
      <c r="AZ43" s="21" t="s">
        <v>854</v>
      </c>
      <c r="BA43" s="21">
        <v>12</v>
      </c>
      <c r="BG43" s="30"/>
      <c r="BP43" s="30"/>
      <c r="BU43" t="s">
        <v>1560</v>
      </c>
      <c r="BV43" s="21" t="s">
        <v>1561</v>
      </c>
      <c r="BW43" s="21" t="s">
        <v>774</v>
      </c>
      <c r="BX43" s="21" t="s">
        <v>2003</v>
      </c>
      <c r="BY43" s="31">
        <v>525636</v>
      </c>
      <c r="BZ43" s="31">
        <v>525636</v>
      </c>
      <c r="CA43" t="s">
        <v>2365</v>
      </c>
      <c r="CF43" s="31"/>
      <c r="CG43" s="31"/>
      <c r="CM43" s="31"/>
      <c r="CN43" s="31"/>
      <c r="CT43" s="31"/>
      <c r="CU43" s="31"/>
      <c r="CV43" s="31"/>
      <c r="DA43" s="31"/>
      <c r="DB43" s="31"/>
      <c r="DC43" s="31"/>
      <c r="DH43" s="31"/>
      <c r="DI43" s="31"/>
      <c r="DO43" s="31"/>
      <c r="DP43" s="31"/>
      <c r="DR43" t="s">
        <v>246</v>
      </c>
      <c r="DS43" t="s">
        <v>837</v>
      </c>
      <c r="DT43" t="s">
        <v>529</v>
      </c>
      <c r="DU43" s="29" t="s">
        <v>850</v>
      </c>
      <c r="DV43" t="s">
        <v>173</v>
      </c>
      <c r="DW43" t="s">
        <v>366</v>
      </c>
      <c r="DX43" t="s">
        <v>171</v>
      </c>
      <c r="DY43" t="s">
        <v>168</v>
      </c>
      <c r="DZ43" t="s">
        <v>169</v>
      </c>
      <c r="EA43" s="22">
        <v>43077.177256944444</v>
      </c>
      <c r="EB43" t="s">
        <v>2371</v>
      </c>
      <c r="EC43" t="s">
        <v>2633</v>
      </c>
    </row>
    <row r="44" spans="1:133">
      <c r="A44" s="30"/>
      <c r="B44" s="22">
        <v>42935.535416666666</v>
      </c>
      <c r="C44" s="22" t="s">
        <v>242</v>
      </c>
      <c r="D44" s="30" t="s">
        <v>741</v>
      </c>
      <c r="E44" s="30" t="s">
        <v>528</v>
      </c>
      <c r="F44" s="30" t="s">
        <v>170</v>
      </c>
      <c r="G44" s="30" t="s">
        <v>172</v>
      </c>
      <c r="H44" t="s">
        <v>94</v>
      </c>
      <c r="I44" t="s">
        <v>743</v>
      </c>
      <c r="J44" t="s">
        <v>543</v>
      </c>
      <c r="L44">
        <v>1</v>
      </c>
      <c r="M44" s="26">
        <v>2.0699999999999998</v>
      </c>
      <c r="N44" t="s">
        <v>208</v>
      </c>
      <c r="Q44" s="29" t="s">
        <v>13</v>
      </c>
      <c r="R44" s="29" t="str">
        <f>IFERROR(MID(RADataTable[[#This Row],[RAtemplate]],1,LEN(RADataTable[[#This Row],[RAtemplate]])-8),"RA") &amp; " " &amp; RADataTable[[#This Row],[prop_id0]] &amp; " " &amp; RADataTable[[#This Row],[last0]]</f>
        <v>RA 1750436 Mehta</v>
      </c>
      <c r="U44" s="21" t="str">
        <f>IF(signer1="PD",IF(ISBLANK(RADataTable[[#This Row],[sign_blck_name]]),"",RADataTable[[#This Row],[sign_blck_name]]),IF(ISBLANK(signer1),"",signer1))</f>
        <v>Tracy J. Kimbrel</v>
      </c>
      <c r="V44" s="29" t="str">
        <f>signer2</f>
        <v>Cognizant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rutameht@illinois.edu</v>
      </c>
      <c r="Y44" s="15" t="str">
        <f>HYPERLINK("mailto:"&amp;RADataTable[[#This Row],[allPIemail]]&amp;"&amp;subject=NSF Proposal:  "&amp;RADataTable[[#This Row],[Div]]&amp;" "&amp;RADataTable[[#This Row],[prop_id0]], "PIs@")</f>
        <v>PIs@</v>
      </c>
      <c r="Z44" t="s">
        <v>742</v>
      </c>
      <c r="AA44" t="s">
        <v>1654</v>
      </c>
      <c r="AB44">
        <v>4</v>
      </c>
      <c r="AC44">
        <v>4</v>
      </c>
      <c r="AD44"/>
      <c r="AE44" s="21" t="str">
        <f>IF(RADataTable[[#This Row],[maxScore]]-RADataTable[[#This Row],[minScore]]&gt;4,"Y","")</f>
        <v/>
      </c>
      <c r="AF44" s="21">
        <v>6</v>
      </c>
      <c r="AG44" s="26">
        <v>7.25</v>
      </c>
      <c r="AH44">
        <v>9</v>
      </c>
      <c r="AI44" t="s">
        <v>2401</v>
      </c>
      <c r="AJ44" s="30">
        <v>43060.566666666666</v>
      </c>
      <c r="AK44" s="13">
        <v>499906</v>
      </c>
      <c r="AL44" s="13">
        <v>499906</v>
      </c>
      <c r="AM44">
        <v>0</v>
      </c>
      <c r="AN44" s="30">
        <v>43132</v>
      </c>
      <c r="AO44" s="21">
        <v>60</v>
      </c>
      <c r="AP44" s="21" t="s">
        <v>2402</v>
      </c>
      <c r="AS44" s="30"/>
      <c r="AT44" t="s">
        <v>619</v>
      </c>
      <c r="AU44" s="21" t="s">
        <v>207</v>
      </c>
      <c r="AV44" s="21">
        <v>7</v>
      </c>
      <c r="AW44" s="21" t="s">
        <v>852</v>
      </c>
      <c r="AX44" s="30">
        <v>43060</v>
      </c>
      <c r="AY44" s="21" t="s">
        <v>2651</v>
      </c>
      <c r="AZ44" s="21" t="s">
        <v>854</v>
      </c>
      <c r="BA44" s="21">
        <v>12</v>
      </c>
      <c r="BB44" s="21">
        <v>1</v>
      </c>
      <c r="BG44" s="30"/>
      <c r="BP44" s="30"/>
      <c r="BU44" t="s">
        <v>1654</v>
      </c>
      <c r="BV44" s="21" t="s">
        <v>1655</v>
      </c>
      <c r="BW44" s="21" t="s">
        <v>2400</v>
      </c>
      <c r="BX44" s="21" t="s">
        <v>339</v>
      </c>
      <c r="BY44" s="31">
        <v>499906</v>
      </c>
      <c r="BZ44" s="31">
        <v>499906</v>
      </c>
      <c r="CA44" t="s">
        <v>2399</v>
      </c>
      <c r="CF44" s="31"/>
      <c r="CG44" s="31"/>
      <c r="CM44" s="31"/>
      <c r="CN44" s="31"/>
      <c r="CT44" s="31"/>
      <c r="CU44" s="31"/>
      <c r="CV44" s="31"/>
      <c r="DA44" s="31"/>
      <c r="DB44" s="31"/>
      <c r="DC44" s="31"/>
      <c r="DH44" s="31"/>
      <c r="DI44" s="31"/>
      <c r="DO44" s="31"/>
      <c r="DP44" s="31"/>
      <c r="DR44" t="s">
        <v>246</v>
      </c>
      <c r="DS44" t="s">
        <v>837</v>
      </c>
      <c r="DT44" t="s">
        <v>529</v>
      </c>
      <c r="DU44" s="29" t="s">
        <v>850</v>
      </c>
      <c r="DV44" t="s">
        <v>173</v>
      </c>
      <c r="DW44" t="s">
        <v>366</v>
      </c>
      <c r="DX44" t="s">
        <v>171</v>
      </c>
      <c r="DY44" t="s">
        <v>168</v>
      </c>
      <c r="DZ44" t="s">
        <v>169</v>
      </c>
      <c r="EA44" s="22">
        <v>43077.177256944444</v>
      </c>
      <c r="EB44" t="s">
        <v>2403</v>
      </c>
      <c r="EC44" t="s">
        <v>2652</v>
      </c>
    </row>
    <row r="45" spans="1:133">
      <c r="A45" s="30"/>
      <c r="B45" s="22">
        <v>42935.633333333331</v>
      </c>
      <c r="C45" s="22" t="s">
        <v>242</v>
      </c>
      <c r="D45" s="30" t="s">
        <v>741</v>
      </c>
      <c r="E45" s="30" t="s">
        <v>528</v>
      </c>
      <c r="F45" s="30" t="s">
        <v>170</v>
      </c>
      <c r="G45" s="30" t="s">
        <v>172</v>
      </c>
      <c r="H45" t="s">
        <v>94</v>
      </c>
      <c r="I45" t="s">
        <v>743</v>
      </c>
      <c r="J45" t="s">
        <v>540</v>
      </c>
      <c r="L45">
        <v>1</v>
      </c>
      <c r="M45" s="26">
        <v>2.0699999999999998</v>
      </c>
      <c r="N45" t="s">
        <v>208</v>
      </c>
      <c r="Q45" s="29" t="s">
        <v>13</v>
      </c>
      <c r="R45" s="29" t="str">
        <f>IFERROR(MID(RADataTable[[#This Row],[RAtemplate]],1,LEN(RADataTable[[#This Row],[RAtemplate]])-8),"RA") &amp; " " &amp; RADataTable[[#This Row],[prop_id0]] &amp; " " &amp; RADataTable[[#This Row],[last0]]</f>
        <v>RA 1750780 Raichel</v>
      </c>
      <c r="U45" s="21" t="str">
        <f>IF(signer1="PD",IF(ISBLANK(RADataTable[[#This Row],[sign_blck_name]]),"",RADataTable[[#This Row],[sign_blck_name]]),IF(ISBLANK(signer1),"",signer1))</f>
        <v>Jack Snoeyink</v>
      </c>
      <c r="V45" s="29" t="str">
        <f>signer2</f>
        <v>Cognizant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Benjamin.Raichel@utdallas.edu</v>
      </c>
      <c r="Y45" s="15" t="str">
        <f>HYPERLINK("mailto:"&amp;RADataTable[[#This Row],[allPIemail]]&amp;"&amp;subject=NSF Proposal:  "&amp;RADataTable[[#This Row],[Div]]&amp;" "&amp;RADataTable[[#This Row],[prop_id0]], "PIs@")</f>
        <v>PIs@</v>
      </c>
      <c r="Z45" t="s">
        <v>742</v>
      </c>
      <c r="AA45" t="s">
        <v>666</v>
      </c>
      <c r="AB45">
        <v>4</v>
      </c>
      <c r="AC45">
        <v>4</v>
      </c>
      <c r="AD45"/>
      <c r="AE45" s="21" t="str">
        <f>IF(RADataTable[[#This Row],[maxScore]]-RADataTable[[#This Row],[minScore]]&gt;4,"Y","")</f>
        <v/>
      </c>
      <c r="AF45" s="21">
        <v>7</v>
      </c>
      <c r="AG45" s="26">
        <v>7.5</v>
      </c>
      <c r="AH45">
        <v>9</v>
      </c>
      <c r="AI45" t="s">
        <v>791</v>
      </c>
      <c r="AJ45" s="30">
        <v>43030.181250000001</v>
      </c>
      <c r="AK45" s="13">
        <v>582785</v>
      </c>
      <c r="AL45" s="13">
        <v>582785</v>
      </c>
      <c r="AM45">
        <v>0</v>
      </c>
      <c r="AN45" s="30">
        <v>43344</v>
      </c>
      <c r="AO45" s="21">
        <v>60</v>
      </c>
      <c r="AP45" s="21" t="s">
        <v>792</v>
      </c>
      <c r="AS45" s="30"/>
      <c r="AT45" t="s">
        <v>544</v>
      </c>
      <c r="AU45" s="21" t="s">
        <v>207</v>
      </c>
      <c r="AV45" s="21">
        <v>7</v>
      </c>
      <c r="AW45" s="21" t="s">
        <v>839</v>
      </c>
      <c r="AX45" s="30">
        <v>43032</v>
      </c>
      <c r="AY45" s="21" t="s">
        <v>862</v>
      </c>
      <c r="AZ45" s="21" t="s">
        <v>841</v>
      </c>
      <c r="BA45" s="21">
        <v>14</v>
      </c>
      <c r="BB45" s="21">
        <v>1</v>
      </c>
      <c r="BG45" s="30"/>
      <c r="BP45" s="30"/>
      <c r="BU45" t="s">
        <v>666</v>
      </c>
      <c r="BV45" s="21" t="s">
        <v>667</v>
      </c>
      <c r="BW45" s="21" t="s">
        <v>789</v>
      </c>
      <c r="BX45" s="21" t="s">
        <v>790</v>
      </c>
      <c r="BY45" s="31">
        <v>582785</v>
      </c>
      <c r="BZ45" s="31">
        <v>582785</v>
      </c>
      <c r="CA45" t="s">
        <v>751</v>
      </c>
      <c r="CF45" s="31"/>
      <c r="CG45" s="31"/>
      <c r="CM45" s="31"/>
      <c r="CN45" s="31"/>
      <c r="CT45" s="31"/>
      <c r="CU45" s="31"/>
      <c r="CV45" s="31"/>
      <c r="DA45" s="31"/>
      <c r="DB45" s="31"/>
      <c r="DC45" s="31"/>
      <c r="DH45" s="31"/>
      <c r="DI45" s="31"/>
      <c r="DO45" s="31"/>
      <c r="DP45" s="31"/>
      <c r="DR45" t="s">
        <v>246</v>
      </c>
      <c r="DS45" t="s">
        <v>837</v>
      </c>
      <c r="DT45" t="s">
        <v>529</v>
      </c>
      <c r="DU45" s="29" t="s">
        <v>838</v>
      </c>
      <c r="DV45" t="s">
        <v>173</v>
      </c>
      <c r="DW45" t="s">
        <v>366</v>
      </c>
      <c r="DX45" t="s">
        <v>171</v>
      </c>
      <c r="DY45" t="s">
        <v>168</v>
      </c>
      <c r="DZ45" t="s">
        <v>169</v>
      </c>
      <c r="EA45" s="22">
        <v>43077.177256944444</v>
      </c>
      <c r="EB45" t="s">
        <v>793</v>
      </c>
      <c r="EC45" t="s">
        <v>863</v>
      </c>
    </row>
    <row r="46" spans="1:133">
      <c r="A46" s="30">
        <v>42934.517997685187</v>
      </c>
      <c r="B46" s="22">
        <v>42809.505555555559</v>
      </c>
      <c r="C46" s="22" t="s">
        <v>1965</v>
      </c>
      <c r="D46" s="30" t="s">
        <v>741</v>
      </c>
      <c r="E46" s="30" t="s">
        <v>901</v>
      </c>
      <c r="F46" s="30" t="s">
        <v>170</v>
      </c>
      <c r="G46" s="30" t="s">
        <v>1974</v>
      </c>
      <c r="H46" t="s">
        <v>94</v>
      </c>
      <c r="I46" t="s">
        <v>1967</v>
      </c>
      <c r="J46" t="s">
        <v>543</v>
      </c>
      <c r="K46" s="22">
        <v>42933.641435185185</v>
      </c>
      <c r="L46">
        <v>1</v>
      </c>
      <c r="M46" s="26">
        <v>2.08</v>
      </c>
      <c r="N46" t="s">
        <v>176</v>
      </c>
      <c r="Q46" s="29" t="s">
        <v>13</v>
      </c>
      <c r="R46" s="29" t="str">
        <f>IFERROR(MID(RADataTable[[#This Row],[RAtemplate]],1,LEN(RADataTable[[#This Row],[RAtemplate]])-8),"RA") &amp; " " &amp; RADataTable[[#This Row],[prop_id0]] &amp; " " &amp; RADataTable[[#This Row],[last0]]</f>
        <v>RA 1740751 Indyk</v>
      </c>
      <c r="U46" s="21" t="str">
        <f>IF(signer1="PD",IF(ISBLANK(RADataTable[[#This Row],[sign_blck_name]]),"",RADataTable[[#This Row],[sign_blck_name]]),IF(ISBLANK(signer1),"",signer1))</f>
        <v>Tracy J. Kimbrel</v>
      </c>
      <c r="V46" s="29" t="str">
        <f>signer2</f>
        <v>Cognizant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indyk@mit.edu</v>
      </c>
      <c r="Y46" s="15" t="str">
        <f>HYPERLINK("mailto:"&amp;RADataTable[[#This Row],[allPIemail]]&amp;"&amp;subject=NSF Proposal:  "&amp;RADataTable[[#This Row],[Div]]&amp;" "&amp;RADataTable[[#This Row],[prop_id0]], "PIs@")</f>
        <v>PIs@</v>
      </c>
      <c r="Z46" t="s">
        <v>742</v>
      </c>
      <c r="AA46" t="s">
        <v>1119</v>
      </c>
      <c r="AB46">
        <v>3</v>
      </c>
      <c r="AD46"/>
      <c r="AE46" s="21" t="str">
        <f>IF(RADataTable[[#This Row],[maxScore]]-RADataTable[[#This Row],[minScore]]&gt;4,"Y","")</f>
        <v/>
      </c>
      <c r="AF46" s="21">
        <v>6</v>
      </c>
      <c r="AG46" s="26">
        <v>7</v>
      </c>
      <c r="AH46">
        <v>8</v>
      </c>
      <c r="AI46" t="s">
        <v>2104</v>
      </c>
      <c r="AJ46" s="30">
        <v>42872.510416666664</v>
      </c>
      <c r="AK46" s="13">
        <v>1500000</v>
      </c>
      <c r="AL46" s="13">
        <v>1368500</v>
      </c>
      <c r="AM46">
        <v>1</v>
      </c>
      <c r="AN46" s="30">
        <v>43009</v>
      </c>
      <c r="AO46" s="21">
        <v>36</v>
      </c>
      <c r="AP46" s="21" t="s">
        <v>2105</v>
      </c>
      <c r="AS46" s="30"/>
      <c r="AT46" t="s">
        <v>919</v>
      </c>
      <c r="AU46" s="21" t="s">
        <v>1004</v>
      </c>
      <c r="AV46" s="21">
        <v>8</v>
      </c>
      <c r="AW46" s="21" t="s">
        <v>2517</v>
      </c>
      <c r="AX46" s="30">
        <v>42872</v>
      </c>
      <c r="AY46" s="21" t="s">
        <v>2548</v>
      </c>
      <c r="AZ46" s="21" t="s">
        <v>2518</v>
      </c>
      <c r="BA46" s="21">
        <v>12</v>
      </c>
      <c r="BB46" s="21">
        <v>2</v>
      </c>
      <c r="BG46" s="30"/>
      <c r="BP46" s="30"/>
      <c r="BU46" t="s">
        <v>1119</v>
      </c>
      <c r="BV46" s="21" t="s">
        <v>1120</v>
      </c>
      <c r="BW46" s="21" t="s">
        <v>2103</v>
      </c>
      <c r="BX46" s="21" t="s">
        <v>775</v>
      </c>
      <c r="BY46" s="31">
        <v>1500000</v>
      </c>
      <c r="BZ46" s="31">
        <v>1368500</v>
      </c>
      <c r="CA46" t="s">
        <v>1968</v>
      </c>
      <c r="CF46" s="31"/>
      <c r="CG46" s="31"/>
      <c r="CM46" s="31"/>
      <c r="CN46" s="31"/>
      <c r="CT46" s="31"/>
      <c r="CU46" s="31"/>
      <c r="CV46" s="31"/>
      <c r="DA46" s="31"/>
      <c r="DB46" s="31"/>
      <c r="DC46" s="31"/>
      <c r="DH46" s="31"/>
      <c r="DI46" s="31"/>
      <c r="DO46" s="31"/>
      <c r="DP46" s="31"/>
      <c r="DR46" t="s">
        <v>2519</v>
      </c>
      <c r="DS46" t="s">
        <v>837</v>
      </c>
      <c r="DT46" t="s">
        <v>902</v>
      </c>
      <c r="DU46" s="29" t="s">
        <v>850</v>
      </c>
      <c r="DV46" t="s">
        <v>1977</v>
      </c>
      <c r="DW46" t="s">
        <v>366</v>
      </c>
      <c r="DX46" t="s">
        <v>171</v>
      </c>
      <c r="DY46" t="s">
        <v>168</v>
      </c>
      <c r="DZ46" t="s">
        <v>169</v>
      </c>
      <c r="EA46" s="22">
        <v>43077.177256944444</v>
      </c>
      <c r="EB46" t="s">
        <v>2106</v>
      </c>
      <c r="EC46" t="s">
        <v>2549</v>
      </c>
    </row>
    <row r="47" spans="1:133">
      <c r="A47" s="30">
        <v>42934.468009259261</v>
      </c>
      <c r="B47" s="22">
        <v>42809.705555555556</v>
      </c>
      <c r="C47" s="22" t="s">
        <v>1965</v>
      </c>
      <c r="D47" s="30" t="s">
        <v>741</v>
      </c>
      <c r="E47" s="30" t="s">
        <v>901</v>
      </c>
      <c r="F47" s="30" t="s">
        <v>170</v>
      </c>
      <c r="G47" s="30" t="s">
        <v>1966</v>
      </c>
      <c r="H47" t="s">
        <v>94</v>
      </c>
      <c r="I47" t="s">
        <v>1967</v>
      </c>
      <c r="J47" t="s">
        <v>540</v>
      </c>
      <c r="K47" s="22">
        <v>42920.135023148148</v>
      </c>
      <c r="L47">
        <v>1</v>
      </c>
      <c r="M47" s="26">
        <v>2.09</v>
      </c>
      <c r="N47" t="s">
        <v>176</v>
      </c>
      <c r="Q47" s="29" t="s">
        <v>13</v>
      </c>
      <c r="R47" s="29" t="str">
        <f>IFERROR(MID(RADataTable[[#This Row],[RAtemplate]],1,LEN(RADataTable[[#This Row],[RAtemplate]])-8),"RA") &amp; " " &amp; RADataTable[[#This Row],[prop_id0]] &amp; " " &amp; RADataTable[[#This Row],[last0]]</f>
        <v>RA 1740834 Mischaikow</v>
      </c>
      <c r="U47" s="21" t="str">
        <f>IF(signer1="PD",IF(ISBLANK(RADataTable[[#This Row],[sign_blck_name]]),"",RADataTable[[#This Row],[sign_blck_name]]),IF(ISBLANK(signer1),"",signer1))</f>
        <v>Jack Snoeyink</v>
      </c>
      <c r="V47" s="29" t="str">
        <f>signer2</f>
        <v>Cognizant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mischaik@math.rutgers.edu</v>
      </c>
      <c r="Y47" s="15" t="str">
        <f>HYPERLINK("mailto:"&amp;RADataTable[[#This Row],[allPIemail]]&amp;"&amp;subject=NSF Proposal:  "&amp;RADataTable[[#This Row],[Div]]&amp;" "&amp;RADataTable[[#This Row],[prop_id0]], "PIs@")</f>
        <v>PIs@</v>
      </c>
      <c r="Z47" t="s">
        <v>742</v>
      </c>
      <c r="AA47" t="s">
        <v>1380</v>
      </c>
      <c r="AB47">
        <v>3</v>
      </c>
      <c r="AD47"/>
      <c r="AE47" s="21" t="str">
        <f>IF(RADataTable[[#This Row],[maxScore]]-RADataTable[[#This Row],[minScore]]&gt;4,"Y","")</f>
        <v/>
      </c>
      <c r="AF47" s="21">
        <v>6</v>
      </c>
      <c r="AG47" s="26">
        <v>6</v>
      </c>
      <c r="AH47">
        <v>6</v>
      </c>
      <c r="AI47" t="s">
        <v>2164</v>
      </c>
      <c r="AJ47" s="30">
        <v>42870.822916666664</v>
      </c>
      <c r="AK47" s="13">
        <v>1499998</v>
      </c>
      <c r="AL47" s="13">
        <v>1499998</v>
      </c>
      <c r="AM47">
        <v>0</v>
      </c>
      <c r="AN47" s="30">
        <v>43009</v>
      </c>
      <c r="AO47" s="21">
        <v>36</v>
      </c>
      <c r="AP47" s="21" t="s">
        <v>2284</v>
      </c>
      <c r="AS47" s="30"/>
      <c r="AT47" t="s">
        <v>919</v>
      </c>
      <c r="AU47" s="21" t="s">
        <v>1004</v>
      </c>
      <c r="AV47" s="21">
        <v>9</v>
      </c>
      <c r="AW47" s="21" t="s">
        <v>2517</v>
      </c>
      <c r="AX47" s="30">
        <v>42872</v>
      </c>
      <c r="AY47" s="21" t="s">
        <v>2560</v>
      </c>
      <c r="AZ47" s="21" t="s">
        <v>2518</v>
      </c>
      <c r="BA47" s="21">
        <v>12</v>
      </c>
      <c r="BB47" s="21">
        <v>2</v>
      </c>
      <c r="BG47" s="30"/>
      <c r="BP47" s="30"/>
      <c r="BU47" t="s">
        <v>1380</v>
      </c>
      <c r="BV47" s="21" t="s">
        <v>1381</v>
      </c>
      <c r="BW47" s="21" t="s">
        <v>2282</v>
      </c>
      <c r="BX47" s="21" t="s">
        <v>2283</v>
      </c>
      <c r="BY47" s="31">
        <v>1499998</v>
      </c>
      <c r="BZ47" s="31">
        <v>1499998</v>
      </c>
      <c r="CA47" t="s">
        <v>2007</v>
      </c>
      <c r="CF47" s="31"/>
      <c r="CG47" s="31"/>
      <c r="CM47" s="31"/>
      <c r="CN47" s="31"/>
      <c r="CT47" s="31"/>
      <c r="CU47" s="31"/>
      <c r="CV47" s="31"/>
      <c r="DA47" s="31"/>
      <c r="DB47" s="31"/>
      <c r="DC47" s="31"/>
      <c r="DH47" s="31"/>
      <c r="DI47" s="31"/>
      <c r="DO47" s="31"/>
      <c r="DP47" s="31"/>
      <c r="DR47" t="s">
        <v>2519</v>
      </c>
      <c r="DS47" t="s">
        <v>837</v>
      </c>
      <c r="DT47" t="s">
        <v>902</v>
      </c>
      <c r="DU47" s="29" t="s">
        <v>838</v>
      </c>
      <c r="DV47" t="s">
        <v>1971</v>
      </c>
      <c r="DW47" t="s">
        <v>366</v>
      </c>
      <c r="DX47" t="s">
        <v>171</v>
      </c>
      <c r="DY47" t="s">
        <v>168</v>
      </c>
      <c r="DZ47" t="s">
        <v>169</v>
      </c>
      <c r="EA47" s="22">
        <v>43077.177256944444</v>
      </c>
      <c r="EB47" t="s">
        <v>2285</v>
      </c>
      <c r="EC47" t="s">
        <v>2601</v>
      </c>
    </row>
    <row r="48" spans="1:133">
      <c r="A48" s="30"/>
      <c r="B48" s="22">
        <v>42935.723611111112</v>
      </c>
      <c r="C48" s="22" t="s">
        <v>242</v>
      </c>
      <c r="D48" s="30" t="s">
        <v>741</v>
      </c>
      <c r="E48" s="30" t="s">
        <v>528</v>
      </c>
      <c r="F48" s="30" t="s">
        <v>170</v>
      </c>
      <c r="G48" s="30" t="s">
        <v>172</v>
      </c>
      <c r="H48" t="s">
        <v>94</v>
      </c>
      <c r="I48" t="s">
        <v>743</v>
      </c>
      <c r="J48" t="s">
        <v>543</v>
      </c>
      <c r="L48">
        <v>1</v>
      </c>
      <c r="M48" s="26">
        <v>2.09</v>
      </c>
      <c r="N48" t="s">
        <v>208</v>
      </c>
      <c r="Q48" s="29" t="s">
        <v>13</v>
      </c>
      <c r="R48" s="29" t="str">
        <f>IFERROR(MID(RADataTable[[#This Row],[RAtemplate]],1,LEN(RADataTable[[#This Row],[RAtemplate]])-8),"RA") &amp; " " &amp; RADataTable[[#This Row],[prop_id0]] &amp; " " &amp; RADataTable[[#This Row],[last0]]</f>
        <v>RA 1751254 Fasy</v>
      </c>
      <c r="U48" s="21" t="str">
        <f>IF(signer1="PD",IF(ISBLANK(RADataTable[[#This Row],[sign_blck_name]]),"",RADataTable[[#This Row],[sign_blck_name]]),IF(ISBLANK(signer1),"",signer1))</f>
        <v>Tracy J. Kimbrel</v>
      </c>
      <c r="V48" s="29" t="str">
        <f>signer2</f>
        <v>Cognizant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brittany@cs.montana.edu</v>
      </c>
      <c r="Y48" s="15" t="str">
        <f>HYPERLINK("mailto:"&amp;RADataTable[[#This Row],[allPIemail]]&amp;"&amp;subject=NSF Proposal:  "&amp;RADataTable[[#This Row],[Div]]&amp;" "&amp;RADataTable[[#This Row],[prop_id0]], "PIs@")</f>
        <v>PIs@</v>
      </c>
      <c r="Z48" t="s">
        <v>742</v>
      </c>
      <c r="AA48" t="s">
        <v>1804</v>
      </c>
      <c r="AB48">
        <v>4</v>
      </c>
      <c r="AC48">
        <v>4</v>
      </c>
      <c r="AD48"/>
      <c r="AE48" s="21" t="str">
        <f>IF(RADataTable[[#This Row],[maxScore]]-RADataTable[[#This Row],[minScore]]&gt;4,"Y","")</f>
        <v/>
      </c>
      <c r="AF48" s="21">
        <v>5</v>
      </c>
      <c r="AG48" s="26">
        <v>6.5</v>
      </c>
      <c r="AH48">
        <v>7</v>
      </c>
      <c r="AI48" t="s">
        <v>338</v>
      </c>
      <c r="AJ48" s="30">
        <v>43031.43472222222</v>
      </c>
      <c r="AK48" s="13">
        <v>552355</v>
      </c>
      <c r="AL48" s="13">
        <v>552355</v>
      </c>
      <c r="AM48">
        <v>0</v>
      </c>
      <c r="AN48" s="30">
        <v>43344</v>
      </c>
      <c r="AO48" s="21">
        <v>60</v>
      </c>
      <c r="AP48" s="21" t="s">
        <v>2461</v>
      </c>
      <c r="AS48" s="30"/>
      <c r="AT48" t="s">
        <v>544</v>
      </c>
      <c r="AU48" s="21" t="s">
        <v>207</v>
      </c>
      <c r="AV48" s="21">
        <v>9</v>
      </c>
      <c r="AW48" s="21" t="s">
        <v>839</v>
      </c>
      <c r="AX48" s="30">
        <v>43032</v>
      </c>
      <c r="AY48" s="21" t="s">
        <v>367</v>
      </c>
      <c r="AZ48" s="21" t="s">
        <v>841</v>
      </c>
      <c r="BA48" s="21">
        <v>14</v>
      </c>
      <c r="BG48" s="30"/>
      <c r="BP48" s="30"/>
      <c r="BU48" t="s">
        <v>1804</v>
      </c>
      <c r="BV48" s="21" t="s">
        <v>1805</v>
      </c>
      <c r="BW48" s="21" t="s">
        <v>2460</v>
      </c>
      <c r="BX48" s="21" t="s">
        <v>2203</v>
      </c>
      <c r="BY48" s="31">
        <v>552355</v>
      </c>
      <c r="BZ48" s="31">
        <v>552355</v>
      </c>
      <c r="CA48" t="s">
        <v>2459</v>
      </c>
      <c r="CF48" s="31"/>
      <c r="CG48" s="31"/>
      <c r="CM48" s="31"/>
      <c r="CN48" s="31"/>
      <c r="CT48" s="31"/>
      <c r="CU48" s="31"/>
      <c r="CV48" s="31"/>
      <c r="DA48" s="31"/>
      <c r="DB48" s="31"/>
      <c r="DC48" s="31"/>
      <c r="DH48" s="31"/>
      <c r="DI48" s="31"/>
      <c r="DO48" s="31"/>
      <c r="DP48" s="31"/>
      <c r="DR48" t="s">
        <v>246</v>
      </c>
      <c r="DS48" t="s">
        <v>837</v>
      </c>
      <c r="DT48" t="s">
        <v>529</v>
      </c>
      <c r="DU48" s="29" t="s">
        <v>850</v>
      </c>
      <c r="DV48" t="s">
        <v>173</v>
      </c>
      <c r="DW48" t="s">
        <v>366</v>
      </c>
      <c r="DX48" t="s">
        <v>171</v>
      </c>
      <c r="DY48" t="s">
        <v>168</v>
      </c>
      <c r="DZ48" t="s">
        <v>169</v>
      </c>
      <c r="EA48" s="22">
        <v>43077.177256944444</v>
      </c>
      <c r="EB48" t="s">
        <v>2462</v>
      </c>
      <c r="EC48" t="s">
        <v>2679</v>
      </c>
    </row>
    <row r="49" spans="1:133">
      <c r="A49" s="30">
        <v>42957.620868055557</v>
      </c>
      <c r="B49" s="22">
        <v>42809.651388888888</v>
      </c>
      <c r="C49" s="22" t="s">
        <v>1965</v>
      </c>
      <c r="D49" s="30" t="s">
        <v>741</v>
      </c>
      <c r="E49" s="30" t="s">
        <v>901</v>
      </c>
      <c r="F49" s="30" t="s">
        <v>170</v>
      </c>
      <c r="G49" s="30" t="s">
        <v>1966</v>
      </c>
      <c r="H49" t="s">
        <v>94</v>
      </c>
      <c r="I49" t="s">
        <v>1967</v>
      </c>
      <c r="J49" t="s">
        <v>543</v>
      </c>
      <c r="K49" s="22">
        <v>42957.618854166663</v>
      </c>
      <c r="L49">
        <v>1</v>
      </c>
      <c r="M49" s="26">
        <v>2.1</v>
      </c>
      <c r="N49" t="s">
        <v>176</v>
      </c>
      <c r="Q49" s="29" t="s">
        <v>13</v>
      </c>
      <c r="R49" s="29" t="str">
        <f>IFERROR(MID(RADataTable[[#This Row],[RAtemplate]],1,LEN(RADataTable[[#This Row],[RAtemplate]])-8),"RA") &amp; " " &amp; RADataTable[[#This Row],[prop_id0]] &amp; " " &amp; RADataTable[[#This Row],[last0]]</f>
        <v>RA 1740803 Mukherjee</v>
      </c>
      <c r="U49" s="21" t="str">
        <f>IF(signer1="PD",IF(ISBLANK(RADataTable[[#This Row],[sign_blck_name]]),"",RADataTable[[#This Row],[sign_blck_name]]),IF(ISBLANK(signer1),"",signer1))</f>
        <v>Tracy J. Kimbrel</v>
      </c>
      <c r="V49" s="29" t="str">
        <f>signer2</f>
        <v>Cognizant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sayan@stat.duke.edu</v>
      </c>
      <c r="Y49" s="15" t="str">
        <f>HYPERLINK("mailto:"&amp;RADataTable[[#This Row],[allPIemail]]&amp;"&amp;subject=NSF Proposal:  "&amp;RADataTable[[#This Row],[Div]]&amp;" "&amp;RADataTable[[#This Row],[prop_id0]], "PIs@")</f>
        <v>PIs@</v>
      </c>
      <c r="Z49" t="s">
        <v>742</v>
      </c>
      <c r="AA49" t="s">
        <v>1233</v>
      </c>
      <c r="AB49">
        <v>3</v>
      </c>
      <c r="AD49"/>
      <c r="AE49" s="21" t="str">
        <f>IF(RADataTable[[#This Row],[maxScore]]-RADataTable[[#This Row],[minScore]]&gt;4,"Y","")</f>
        <v>Y</v>
      </c>
      <c r="AF49" s="21">
        <v>3</v>
      </c>
      <c r="AG49" s="26">
        <v>5.666666666666667</v>
      </c>
      <c r="AH49">
        <v>8</v>
      </c>
      <c r="AI49" t="s">
        <v>2199</v>
      </c>
      <c r="AJ49" s="30">
        <v>42873.517361111109</v>
      </c>
      <c r="AK49" s="13">
        <v>1497550</v>
      </c>
      <c r="AL49" s="13">
        <v>1497550</v>
      </c>
      <c r="AM49">
        <v>0</v>
      </c>
      <c r="AN49" s="30">
        <v>42917</v>
      </c>
      <c r="AO49" s="21">
        <v>36</v>
      </c>
      <c r="AP49" s="21" t="s">
        <v>2200</v>
      </c>
      <c r="AS49" s="30"/>
      <c r="AT49" t="s">
        <v>919</v>
      </c>
      <c r="AU49" s="21" t="s">
        <v>1004</v>
      </c>
      <c r="AV49" s="21">
        <v>10</v>
      </c>
      <c r="AW49" s="21" t="s">
        <v>2517</v>
      </c>
      <c r="AX49" s="30">
        <v>42872</v>
      </c>
      <c r="AY49" s="21" t="s">
        <v>2571</v>
      </c>
      <c r="AZ49" s="21" t="s">
        <v>2518</v>
      </c>
      <c r="BA49" s="21">
        <v>12</v>
      </c>
      <c r="BB49" s="21">
        <v>3</v>
      </c>
      <c r="BG49" s="30"/>
      <c r="BP49" s="30"/>
      <c r="BU49" t="s">
        <v>1233</v>
      </c>
      <c r="BV49" s="21" t="s">
        <v>1234</v>
      </c>
      <c r="BW49" s="21" t="s">
        <v>2197</v>
      </c>
      <c r="BX49" s="21" t="s">
        <v>2198</v>
      </c>
      <c r="BY49" s="31">
        <v>1497550</v>
      </c>
      <c r="BZ49" s="31">
        <v>1497550</v>
      </c>
      <c r="CA49" t="s">
        <v>1968</v>
      </c>
      <c r="CF49" s="31"/>
      <c r="CG49" s="31"/>
      <c r="CM49" s="31"/>
      <c r="CN49" s="31"/>
      <c r="CT49" s="31"/>
      <c r="CU49" s="31"/>
      <c r="CV49" s="31"/>
      <c r="DA49" s="31"/>
      <c r="DB49" s="31"/>
      <c r="DC49" s="31"/>
      <c r="DH49" s="31"/>
      <c r="DI49" s="31"/>
      <c r="DO49" s="31"/>
      <c r="DP49" s="31"/>
      <c r="DR49" t="s">
        <v>2519</v>
      </c>
      <c r="DS49" t="s">
        <v>837</v>
      </c>
      <c r="DT49" t="s">
        <v>902</v>
      </c>
      <c r="DU49" s="29" t="s">
        <v>850</v>
      </c>
      <c r="DV49" t="s">
        <v>1971</v>
      </c>
      <c r="DW49" t="s">
        <v>366</v>
      </c>
      <c r="DX49" t="s">
        <v>171</v>
      </c>
      <c r="DY49" t="s">
        <v>168</v>
      </c>
      <c r="DZ49" t="s">
        <v>169</v>
      </c>
      <c r="EA49" s="22">
        <v>43077.177256944444</v>
      </c>
      <c r="EB49" t="s">
        <v>2201</v>
      </c>
      <c r="EC49" t="s">
        <v>2572</v>
      </c>
    </row>
    <row r="50" spans="1:133">
      <c r="A50" s="30"/>
      <c r="B50" s="22">
        <v>42934.453472222223</v>
      </c>
      <c r="C50" s="22" t="s">
        <v>242</v>
      </c>
      <c r="D50" s="30" t="s">
        <v>741</v>
      </c>
      <c r="E50" s="30" t="s">
        <v>528</v>
      </c>
      <c r="F50" s="30" t="s">
        <v>170</v>
      </c>
      <c r="G50" s="30" t="s">
        <v>172</v>
      </c>
      <c r="H50" t="s">
        <v>94</v>
      </c>
      <c r="I50" t="s">
        <v>743</v>
      </c>
      <c r="J50" t="s">
        <v>1530</v>
      </c>
      <c r="L50">
        <v>1</v>
      </c>
      <c r="M50" s="26">
        <v>2.1</v>
      </c>
      <c r="N50" t="s">
        <v>208</v>
      </c>
      <c r="Q50" s="29" t="s">
        <v>13</v>
      </c>
      <c r="R50" s="29" t="str">
        <f>IFERROR(MID(RADataTable[[#This Row],[RAtemplate]],1,LEN(RADataTable[[#This Row],[RAtemplate]])-8),"RA") &amp; " " &amp; RADataTable[[#This Row],[prop_id0]] &amp; " " &amp; RADataTable[[#This Row],[last0]]</f>
        <v>RA 1749678 Im</v>
      </c>
      <c r="U50" s="21" t="str">
        <f>IF(signer1="PD",IF(ISBLANK(RADataTable[[#This Row],[sign_blck_name]]),"",RADataTable[[#This Row],[sign_blck_name]]),IF(ISBLANK(signer1),"",signer1))</f>
        <v>Rahul Shah</v>
      </c>
      <c r="V50" s="29" t="str">
        <f>signer2</f>
        <v>Cognizant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sim3@ucmerced.edu</v>
      </c>
      <c r="Y50" s="15" t="str">
        <f>HYPERLINK("mailto:"&amp;RADataTable[[#This Row],[allPIemail]]&amp;"&amp;subject=NSF Proposal:  "&amp;RADataTable[[#This Row],[Div]]&amp;" "&amp;RADataTable[[#This Row],[prop_id0]], "PIs@")</f>
        <v>PIs@</v>
      </c>
      <c r="Z50" t="s">
        <v>742</v>
      </c>
      <c r="AA50" t="s">
        <v>1532</v>
      </c>
      <c r="AB50">
        <v>4</v>
      </c>
      <c r="AC50">
        <v>4</v>
      </c>
      <c r="AD50"/>
      <c r="AE50" s="21" t="str">
        <f>IF(RADataTable[[#This Row],[maxScore]]-RADataTable[[#This Row],[minScore]]&gt;4,"Y","")</f>
        <v/>
      </c>
      <c r="AF50" s="21">
        <v>5</v>
      </c>
      <c r="AG50" s="26">
        <v>6.5</v>
      </c>
      <c r="AH50">
        <v>7</v>
      </c>
      <c r="AI50" t="s">
        <v>338</v>
      </c>
      <c r="AJ50" s="30">
        <v>43032.518055555556</v>
      </c>
      <c r="AK50" s="13">
        <v>514477</v>
      </c>
      <c r="AL50" s="13">
        <v>514477</v>
      </c>
      <c r="AM50">
        <v>0</v>
      </c>
      <c r="AN50" s="30">
        <v>43282</v>
      </c>
      <c r="AO50" s="21">
        <v>60</v>
      </c>
      <c r="AP50" s="21" t="s">
        <v>2360</v>
      </c>
      <c r="AS50" s="30"/>
      <c r="AT50" t="s">
        <v>544</v>
      </c>
      <c r="AU50" s="21" t="s">
        <v>207</v>
      </c>
      <c r="AV50" s="21">
        <v>10</v>
      </c>
      <c r="AW50" s="21" t="s">
        <v>839</v>
      </c>
      <c r="AX50" s="30">
        <v>43032</v>
      </c>
      <c r="AY50" s="21" t="s">
        <v>367</v>
      </c>
      <c r="AZ50" s="21" t="s">
        <v>841</v>
      </c>
      <c r="BA50" s="21">
        <v>14</v>
      </c>
      <c r="BG50" s="30"/>
      <c r="BP50" s="30"/>
      <c r="BU50" t="s">
        <v>1532</v>
      </c>
      <c r="BV50" s="21" t="s">
        <v>1533</v>
      </c>
      <c r="BW50" s="21" t="s">
        <v>2358</v>
      </c>
      <c r="BX50" s="21" t="s">
        <v>2359</v>
      </c>
      <c r="BY50" s="31">
        <v>514477</v>
      </c>
      <c r="BZ50" s="31">
        <v>514477</v>
      </c>
      <c r="CA50" t="s">
        <v>744</v>
      </c>
      <c r="CF50" s="31"/>
      <c r="CG50" s="31"/>
      <c r="CM50" s="31"/>
      <c r="CN50" s="31"/>
      <c r="CT50" s="31"/>
      <c r="CU50" s="31"/>
      <c r="CV50" s="31"/>
      <c r="DA50" s="31"/>
      <c r="DB50" s="31"/>
      <c r="DC50" s="31"/>
      <c r="DH50" s="31"/>
      <c r="DI50" s="31"/>
      <c r="DO50" s="31"/>
      <c r="DP50" s="31"/>
      <c r="DR50" t="s">
        <v>246</v>
      </c>
      <c r="DS50" t="s">
        <v>837</v>
      </c>
      <c r="DT50" t="s">
        <v>529</v>
      </c>
      <c r="DU50" s="29" t="s">
        <v>2627</v>
      </c>
      <c r="DV50" t="s">
        <v>173</v>
      </c>
      <c r="DW50" t="s">
        <v>366</v>
      </c>
      <c r="DX50" t="s">
        <v>171</v>
      </c>
      <c r="DY50" t="s">
        <v>168</v>
      </c>
      <c r="DZ50" t="s">
        <v>169</v>
      </c>
      <c r="EA50" s="22">
        <v>43077.177256944444</v>
      </c>
      <c r="EB50" t="s">
        <v>2361</v>
      </c>
      <c r="EC50" t="s">
        <v>2629</v>
      </c>
    </row>
    <row r="51" spans="1:133">
      <c r="A51" s="30"/>
      <c r="B51" s="22">
        <v>42935.696527777778</v>
      </c>
      <c r="C51" s="22" t="s">
        <v>242</v>
      </c>
      <c r="D51" s="30" t="s">
        <v>741</v>
      </c>
      <c r="E51" s="30" t="s">
        <v>528</v>
      </c>
      <c r="F51" s="30" t="s">
        <v>170</v>
      </c>
      <c r="G51" s="30" t="s">
        <v>172</v>
      </c>
      <c r="H51" t="s">
        <v>94</v>
      </c>
      <c r="I51" t="s">
        <v>743</v>
      </c>
      <c r="J51" t="s">
        <v>540</v>
      </c>
      <c r="L51">
        <v>1</v>
      </c>
      <c r="M51" s="26">
        <v>2.1</v>
      </c>
      <c r="N51" t="s">
        <v>208</v>
      </c>
      <c r="Q51" s="29" t="s">
        <v>13</v>
      </c>
      <c r="R51" s="29" t="str">
        <f>IFERROR(MID(RADataTable[[#This Row],[RAtemplate]],1,LEN(RADataTable[[#This Row],[RAtemplate]])-8),"RA") &amp; " " &amp; RADataTable[[#This Row],[prop_id0]] &amp; " " &amp; RADataTable[[#This Row],[last0]]</f>
        <v>RA 1751135 Nayyeri</v>
      </c>
      <c r="U51" s="21" t="str">
        <f>IF(signer1="PD",IF(ISBLANK(RADataTable[[#This Row],[sign_blck_name]]),"",RADataTable[[#This Row],[sign_blck_name]]),IF(ISBLANK(signer1),"",signer1))</f>
        <v>Jack Snoeyink</v>
      </c>
      <c r="V51" s="29" t="str">
        <f>signer2</f>
        <v>Cognizant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nayyeria@eecs.oregonstate.edu</v>
      </c>
      <c r="Y51" s="15" t="str">
        <f>HYPERLINK("mailto:"&amp;RADataTable[[#This Row],[allPIemail]]&amp;"&amp;subject=NSF Proposal:  "&amp;RADataTable[[#This Row],[Div]]&amp;" "&amp;RADataTable[[#This Row],[prop_id0]], "PIs@")</f>
        <v>PIs@</v>
      </c>
      <c r="Z51" t="s">
        <v>742</v>
      </c>
      <c r="AA51" t="s">
        <v>695</v>
      </c>
      <c r="AB51">
        <v>4</v>
      </c>
      <c r="AC51">
        <v>4</v>
      </c>
      <c r="AD51"/>
      <c r="AE51" s="21" t="str">
        <f>IF(RADataTable[[#This Row],[maxScore]]-RADataTable[[#This Row],[minScore]]&gt;4,"Y","")</f>
        <v/>
      </c>
      <c r="AF51" s="21">
        <v>6</v>
      </c>
      <c r="AG51" s="26">
        <v>6.75</v>
      </c>
      <c r="AH51">
        <v>7</v>
      </c>
      <c r="AI51" t="s">
        <v>805</v>
      </c>
      <c r="AJ51" s="30">
        <v>43031.69027777778</v>
      </c>
      <c r="AK51" s="13">
        <v>607459</v>
      </c>
      <c r="AL51" s="13">
        <v>607459</v>
      </c>
      <c r="AM51">
        <v>0</v>
      </c>
      <c r="AN51" s="30">
        <v>43344</v>
      </c>
      <c r="AO51" s="21">
        <v>60</v>
      </c>
      <c r="AP51" s="21" t="s">
        <v>806</v>
      </c>
      <c r="AS51" s="30"/>
      <c r="AT51" t="s">
        <v>544</v>
      </c>
      <c r="AU51" s="21" t="s">
        <v>207</v>
      </c>
      <c r="AV51" s="21">
        <v>10</v>
      </c>
      <c r="AW51" s="21" t="s">
        <v>839</v>
      </c>
      <c r="AX51" s="30">
        <v>43032</v>
      </c>
      <c r="AY51" s="21" t="s">
        <v>866</v>
      </c>
      <c r="AZ51" s="21" t="s">
        <v>841</v>
      </c>
      <c r="BA51" s="21">
        <v>14</v>
      </c>
      <c r="BB51" s="21">
        <v>2</v>
      </c>
      <c r="BG51" s="30"/>
      <c r="BP51" s="30"/>
      <c r="BU51" t="s">
        <v>695</v>
      </c>
      <c r="BV51" s="21" t="s">
        <v>696</v>
      </c>
      <c r="BW51" s="21" t="s">
        <v>803</v>
      </c>
      <c r="BX51" s="21" t="s">
        <v>804</v>
      </c>
      <c r="BY51" s="31">
        <v>607459</v>
      </c>
      <c r="BZ51" s="31">
        <v>607459</v>
      </c>
      <c r="CA51" t="s">
        <v>751</v>
      </c>
      <c r="CF51" s="31"/>
      <c r="CG51" s="31"/>
      <c r="CM51" s="31"/>
      <c r="CN51" s="31"/>
      <c r="CT51" s="31"/>
      <c r="CU51" s="31"/>
      <c r="CV51" s="31"/>
      <c r="DA51" s="31"/>
      <c r="DB51" s="31"/>
      <c r="DC51" s="31"/>
      <c r="DH51" s="31"/>
      <c r="DI51" s="31"/>
      <c r="DO51" s="31"/>
      <c r="DP51" s="31"/>
      <c r="DR51" t="s">
        <v>246</v>
      </c>
      <c r="DS51" t="s">
        <v>837</v>
      </c>
      <c r="DT51" t="s">
        <v>529</v>
      </c>
      <c r="DU51" s="29" t="s">
        <v>838</v>
      </c>
      <c r="DV51" t="s">
        <v>173</v>
      </c>
      <c r="DW51" t="s">
        <v>366</v>
      </c>
      <c r="DX51" t="s">
        <v>171</v>
      </c>
      <c r="DY51" t="s">
        <v>168</v>
      </c>
      <c r="DZ51" t="s">
        <v>169</v>
      </c>
      <c r="EA51" s="22">
        <v>43077.177256944444</v>
      </c>
      <c r="EB51" t="s">
        <v>807</v>
      </c>
      <c r="EC51" t="s">
        <v>867</v>
      </c>
    </row>
    <row r="52" spans="1:133">
      <c r="A52" s="30"/>
      <c r="B52" s="22">
        <v>42935.70416666667</v>
      </c>
      <c r="C52" s="22" t="s">
        <v>242</v>
      </c>
      <c r="D52" s="30" t="s">
        <v>741</v>
      </c>
      <c r="E52" s="30" t="s">
        <v>528</v>
      </c>
      <c r="F52" s="30" t="s">
        <v>170</v>
      </c>
      <c r="G52" s="30" t="s">
        <v>172</v>
      </c>
      <c r="H52" t="s">
        <v>94</v>
      </c>
      <c r="I52" t="s">
        <v>743</v>
      </c>
      <c r="J52" t="s">
        <v>1530</v>
      </c>
      <c r="L52">
        <v>1</v>
      </c>
      <c r="M52" s="26">
        <v>2.1</v>
      </c>
      <c r="N52" t="s">
        <v>208</v>
      </c>
      <c r="Q52" s="29" t="s">
        <v>13</v>
      </c>
      <c r="R52" s="29" t="str">
        <f>IFERROR(MID(RADataTable[[#This Row],[RAtemplate]],1,LEN(RADataTable[[#This Row],[RAtemplate]])-8),"RA") &amp; " " &amp; RADataTable[[#This Row],[prop_id0]] &amp; " " &amp; RADataTable[[#This Row],[last0]]</f>
        <v>RA 1751181 Young</v>
      </c>
      <c r="U52" s="21" t="str">
        <f>IF(signer1="PD",IF(ISBLANK(RADataTable[[#This Row],[sign_blck_name]]),"",RADataTable[[#This Row],[sign_blck_name]]),IF(ISBLANK(signer1),"",signer1))</f>
        <v>Rahul Shah</v>
      </c>
      <c r="V52" s="29" t="str">
        <f>signer2</f>
        <v>Cognizant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maxwelly@outlook.com</v>
      </c>
      <c r="Y52" s="15" t="str">
        <f>HYPERLINK("mailto:"&amp;RADataTable[[#This Row],[allPIemail]]&amp;"&amp;subject=NSF Proposal:  "&amp;RADataTable[[#This Row],[Div]]&amp;" "&amp;RADataTable[[#This Row],[prop_id0]], "PIs@")</f>
        <v>PIs@</v>
      </c>
      <c r="Z52" t="s">
        <v>742</v>
      </c>
      <c r="AA52" t="s">
        <v>1788</v>
      </c>
      <c r="AB52">
        <v>4</v>
      </c>
      <c r="AC52">
        <v>4</v>
      </c>
      <c r="AD52"/>
      <c r="AE52" s="21" t="str">
        <f>IF(RADataTable[[#This Row],[maxScore]]-RADataTable[[#This Row],[minScore]]&gt;4,"Y","")</f>
        <v>Y</v>
      </c>
      <c r="AF52" s="21">
        <v>4</v>
      </c>
      <c r="AG52" s="26">
        <v>5.75</v>
      </c>
      <c r="AH52">
        <v>9</v>
      </c>
      <c r="AI52" t="s">
        <v>2453</v>
      </c>
      <c r="AJ52" s="30">
        <v>43059.229861111111</v>
      </c>
      <c r="AK52" s="13">
        <v>400000</v>
      </c>
      <c r="AL52" s="13">
        <v>400000</v>
      </c>
      <c r="AM52">
        <v>0</v>
      </c>
      <c r="AN52" s="30">
        <v>43344</v>
      </c>
      <c r="AO52" s="21">
        <v>60</v>
      </c>
      <c r="AP52" s="21" t="s">
        <v>2454</v>
      </c>
      <c r="AS52" s="30"/>
      <c r="AT52" t="s">
        <v>619</v>
      </c>
      <c r="AU52" s="21" t="s">
        <v>207</v>
      </c>
      <c r="AV52" s="21">
        <v>10</v>
      </c>
      <c r="AW52" s="21" t="s">
        <v>852</v>
      </c>
      <c r="AX52" s="30">
        <v>43060</v>
      </c>
      <c r="AY52" s="21" t="s">
        <v>2676</v>
      </c>
      <c r="AZ52" s="21" t="s">
        <v>854</v>
      </c>
      <c r="BA52" s="21">
        <v>12</v>
      </c>
      <c r="BG52" s="30"/>
      <c r="BP52" s="30"/>
      <c r="BU52" t="s">
        <v>1788</v>
      </c>
      <c r="BV52" s="21" t="s">
        <v>1789</v>
      </c>
      <c r="BW52" s="21" t="s">
        <v>2451</v>
      </c>
      <c r="BX52" s="21" t="s">
        <v>2452</v>
      </c>
      <c r="BY52" s="31">
        <v>400000</v>
      </c>
      <c r="BZ52" s="31">
        <v>400000</v>
      </c>
      <c r="CA52" t="s">
        <v>2450</v>
      </c>
      <c r="CF52" s="31"/>
      <c r="CG52" s="31"/>
      <c r="CM52" s="31"/>
      <c r="CN52" s="31"/>
      <c r="CT52" s="31"/>
      <c r="CU52" s="31"/>
      <c r="CV52" s="31"/>
      <c r="DA52" s="31"/>
      <c r="DB52" s="31"/>
      <c r="DC52" s="31"/>
      <c r="DH52" s="31"/>
      <c r="DI52" s="31"/>
      <c r="DO52" s="31"/>
      <c r="DP52" s="31"/>
      <c r="DR52" t="s">
        <v>246</v>
      </c>
      <c r="DS52" t="s">
        <v>837</v>
      </c>
      <c r="DT52" t="s">
        <v>529</v>
      </c>
      <c r="DU52" s="29" t="s">
        <v>2627</v>
      </c>
      <c r="DV52" t="s">
        <v>173</v>
      </c>
      <c r="DW52" t="s">
        <v>366</v>
      </c>
      <c r="DX52" t="s">
        <v>171</v>
      </c>
      <c r="DY52" t="s">
        <v>168</v>
      </c>
      <c r="DZ52" t="s">
        <v>169</v>
      </c>
      <c r="EA52" s="22">
        <v>43077.177256944444</v>
      </c>
      <c r="EB52" t="s">
        <v>2455</v>
      </c>
      <c r="EC52" t="s">
        <v>2677</v>
      </c>
    </row>
    <row r="53" spans="1:133">
      <c r="A53" s="30"/>
      <c r="B53" s="22">
        <v>42935.69027777778</v>
      </c>
      <c r="C53" s="22" t="s">
        <v>242</v>
      </c>
      <c r="D53" s="30" t="s">
        <v>741</v>
      </c>
      <c r="E53" s="30" t="s">
        <v>528</v>
      </c>
      <c r="F53" s="30" t="s">
        <v>170</v>
      </c>
      <c r="G53" s="30" t="s">
        <v>172</v>
      </c>
      <c r="H53" t="s">
        <v>94</v>
      </c>
      <c r="I53" t="s">
        <v>743</v>
      </c>
      <c r="J53" t="s">
        <v>540</v>
      </c>
      <c r="L53">
        <v>1</v>
      </c>
      <c r="M53" s="26">
        <v>2.12</v>
      </c>
      <c r="N53" t="s">
        <v>208</v>
      </c>
      <c r="Q53" s="29" t="s">
        <v>13</v>
      </c>
      <c r="R53" s="29" t="str">
        <f>IFERROR(MID(RADataTable[[#This Row],[RAtemplate]],1,LEN(RADataTable[[#This Row],[RAtemplate]])-8),"RA") &amp; " " &amp; RADataTable[[#This Row],[prop_id0]] &amp; " " &amp; RADataTable[[#This Row],[last0]]</f>
        <v>RA 1751102 Vouga</v>
      </c>
      <c r="U53" s="21" t="str">
        <f>IF(signer1="PD",IF(ISBLANK(RADataTable[[#This Row],[sign_blck_name]]),"",RADataTable[[#This Row],[sign_blck_name]]),IF(ISBLANK(signer1),"",signer1))</f>
        <v>Jack Snoeyink</v>
      </c>
      <c r="V53" s="29" t="str">
        <f>signer2</f>
        <v>Cognizant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evouga@cs.utexas.edu</v>
      </c>
      <c r="Y53" s="15" t="str">
        <f>HYPERLINK("mailto:"&amp;RADataTable[[#This Row],[allPIemail]]&amp;"&amp;subject=NSF Proposal:  "&amp;RADataTable[[#This Row],[Div]]&amp;" "&amp;RADataTable[[#This Row],[prop_id0]], "PIs@")</f>
        <v>PIs@</v>
      </c>
      <c r="Z53" t="s">
        <v>742</v>
      </c>
      <c r="AA53" t="s">
        <v>686</v>
      </c>
      <c r="AB53">
        <v>4</v>
      </c>
      <c r="AC53">
        <v>4</v>
      </c>
      <c r="AD53"/>
      <c r="AE53" s="21" t="str">
        <f>IF(RADataTable[[#This Row],[maxScore]]-RADataTable[[#This Row],[minScore]]&gt;4,"Y","")</f>
        <v/>
      </c>
      <c r="AF53" s="21">
        <v>5</v>
      </c>
      <c r="AG53" s="26">
        <v>6.5</v>
      </c>
      <c r="AH53">
        <v>7</v>
      </c>
      <c r="AI53" t="s">
        <v>338</v>
      </c>
      <c r="AJ53" s="30">
        <v>43031.392361111109</v>
      </c>
      <c r="AK53" s="13">
        <v>523537</v>
      </c>
      <c r="AL53" s="13">
        <v>523537</v>
      </c>
      <c r="AM53">
        <v>0</v>
      </c>
      <c r="AN53" s="30">
        <v>43344</v>
      </c>
      <c r="AO53" s="21">
        <v>60</v>
      </c>
      <c r="AP53" s="21" t="s">
        <v>800</v>
      </c>
      <c r="AS53" s="30"/>
      <c r="AT53" t="s">
        <v>544</v>
      </c>
      <c r="AU53" s="21" t="s">
        <v>207</v>
      </c>
      <c r="AV53" s="21">
        <v>12</v>
      </c>
      <c r="AW53" s="21" t="s">
        <v>839</v>
      </c>
      <c r="AX53" s="30">
        <v>43032</v>
      </c>
      <c r="AY53" s="21" t="s">
        <v>367</v>
      </c>
      <c r="AZ53" s="21" t="s">
        <v>841</v>
      </c>
      <c r="BA53" s="21">
        <v>14</v>
      </c>
      <c r="BG53" s="30"/>
      <c r="BP53" s="30"/>
      <c r="BU53" t="s">
        <v>686</v>
      </c>
      <c r="BV53" s="21" t="s">
        <v>687</v>
      </c>
      <c r="BW53" s="21" t="s">
        <v>798</v>
      </c>
      <c r="BX53" s="21" t="s">
        <v>799</v>
      </c>
      <c r="BY53" s="31">
        <v>523537</v>
      </c>
      <c r="BZ53" s="31">
        <v>523537</v>
      </c>
      <c r="CA53" t="s">
        <v>751</v>
      </c>
      <c r="CF53" s="31"/>
      <c r="CG53" s="31"/>
      <c r="CM53" s="31"/>
      <c r="CN53" s="31"/>
      <c r="CT53" s="31"/>
      <c r="CU53" s="31"/>
      <c r="CV53" s="31"/>
      <c r="DA53" s="31"/>
      <c r="DB53" s="31"/>
      <c r="DC53" s="31"/>
      <c r="DH53" s="31"/>
      <c r="DI53" s="31"/>
      <c r="DO53" s="31"/>
      <c r="DP53" s="31"/>
      <c r="DR53" t="s">
        <v>246</v>
      </c>
      <c r="DS53" t="s">
        <v>837</v>
      </c>
      <c r="DT53" t="s">
        <v>529</v>
      </c>
      <c r="DU53" s="29" t="s">
        <v>838</v>
      </c>
      <c r="DV53" t="s">
        <v>173</v>
      </c>
      <c r="DW53" t="s">
        <v>366</v>
      </c>
      <c r="DX53" t="s">
        <v>171</v>
      </c>
      <c r="DY53" t="s">
        <v>168</v>
      </c>
      <c r="DZ53" t="s">
        <v>169</v>
      </c>
      <c r="EA53" s="22">
        <v>43077.177256944444</v>
      </c>
      <c r="EB53" t="s">
        <v>801</v>
      </c>
      <c r="EC53" t="s">
        <v>865</v>
      </c>
    </row>
    <row r="54" spans="1:133">
      <c r="A54" s="30"/>
      <c r="B54" s="22">
        <v>42956.472222222219</v>
      </c>
      <c r="C54" s="22" t="s">
        <v>808</v>
      </c>
      <c r="D54" s="30" t="s">
        <v>741</v>
      </c>
      <c r="E54" s="30" t="s">
        <v>526</v>
      </c>
      <c r="F54" s="30" t="s">
        <v>170</v>
      </c>
      <c r="G54" s="30" t="s">
        <v>172</v>
      </c>
      <c r="H54" t="s">
        <v>94</v>
      </c>
      <c r="I54" t="s">
        <v>809</v>
      </c>
      <c r="J54" t="s">
        <v>540</v>
      </c>
      <c r="L54">
        <v>1</v>
      </c>
      <c r="M54" s="26">
        <v>3.04</v>
      </c>
      <c r="N54" t="s">
        <v>248</v>
      </c>
      <c r="Q54" s="29" t="s">
        <v>13</v>
      </c>
      <c r="R54" s="29" t="str">
        <f>IFERROR(MID(RADataTable[[#This Row],[RAtemplate]],1,LEN(RADataTable[[#This Row],[RAtemplate]])-8),"RA") &amp; " " &amp; RADataTable[[#This Row],[prop_id0]] &amp; " " &amp; RADataTable[[#This Row],[last0]]</f>
        <v>RA 1755702 Charkhgard</v>
      </c>
      <c r="U54" s="21" t="str">
        <f>IF(signer1="PD",IF(ISBLANK(RADataTable[[#This Row],[sign_blck_name]]),"",RADataTable[[#This Row],[sign_blck_name]]),IF(ISBLANK(signer1),"",signer1))</f>
        <v>Jack Snoeyink</v>
      </c>
      <c r="V54" s="29" t="str">
        <f>signer2</f>
        <v>Cognizant Program Director</v>
      </c>
      <c r="W54" s="15" t="str">
        <f>HYPERLINK("https://www.ejacket.nsf.gov/ej/showProposal.do?Continue=Y&amp;ID="&amp;RADataTable[[#This Row],[prop_id0]],"eJ")</f>
        <v>eJ</v>
      </c>
      <c r="X54" s="15" t="str">
        <f>HYPERLINK("mailto:"&amp;RADataTable[[#This Row],[email]]&amp;"&amp;subject=Your NSF Proposal:  "&amp;RADataTable[[#This Row],[Div]]&amp;" "&amp;RADataTable[[#This Row],[prop_id0]], RADataTable[[#This Row],[email]])</f>
        <v>hcharkhgard@usf.edu</v>
      </c>
      <c r="Y54" s="15" t="str">
        <f>HYPERLINK("mailto:"&amp;RADataTable[[#This Row],[allPIemail]]&amp;"&amp;subject=NSF Proposal:  "&amp;RADataTable[[#This Row],[Div]]&amp;" "&amp;RADataTable[[#This Row],[prop_id0]], "PIs@")</f>
        <v>PIs@</v>
      </c>
      <c r="Z54" t="s">
        <v>742</v>
      </c>
      <c r="AA54" t="s">
        <v>703</v>
      </c>
      <c r="AB54">
        <v>3</v>
      </c>
      <c r="AC54">
        <v>3</v>
      </c>
      <c r="AD54"/>
      <c r="AE54" s="21" t="str">
        <f>IF(RADataTable[[#This Row],[maxScore]]-RADataTable[[#This Row],[minScore]]&gt;4,"Y","")</f>
        <v/>
      </c>
      <c r="AF54" s="21">
        <v>5</v>
      </c>
      <c r="AG54" s="26">
        <v>5</v>
      </c>
      <c r="AH54">
        <v>5</v>
      </c>
      <c r="AI54" t="s">
        <v>813</v>
      </c>
      <c r="AJ54" s="30">
        <v>43031.770833333336</v>
      </c>
      <c r="AK54" s="13">
        <v>172682</v>
      </c>
      <c r="AL54" s="13">
        <v>172682</v>
      </c>
      <c r="AM54">
        <v>0</v>
      </c>
      <c r="AN54" s="30">
        <v>43221</v>
      </c>
      <c r="AO54" s="21">
        <v>24</v>
      </c>
      <c r="AP54" s="21" t="s">
        <v>814</v>
      </c>
      <c r="AS54" s="30"/>
      <c r="AT54" t="s">
        <v>544</v>
      </c>
      <c r="AU54" s="21" t="s">
        <v>249</v>
      </c>
      <c r="AV54" s="21">
        <v>4</v>
      </c>
      <c r="AW54" s="21" t="s">
        <v>839</v>
      </c>
      <c r="AX54" s="30">
        <v>43032</v>
      </c>
      <c r="AY54" s="21" t="s">
        <v>868</v>
      </c>
      <c r="AZ54" s="21" t="s">
        <v>841</v>
      </c>
      <c r="BA54" s="21">
        <v>14</v>
      </c>
      <c r="BG54" s="30"/>
      <c r="BP54" s="30"/>
      <c r="BU54" t="s">
        <v>703</v>
      </c>
      <c r="BV54" s="21" t="s">
        <v>704</v>
      </c>
      <c r="BW54" s="21" t="s">
        <v>811</v>
      </c>
      <c r="BX54" s="21" t="s">
        <v>812</v>
      </c>
      <c r="BY54" s="31">
        <v>172682</v>
      </c>
      <c r="BZ54" s="31">
        <v>172682</v>
      </c>
      <c r="CA54" t="s">
        <v>810</v>
      </c>
      <c r="CF54" s="31"/>
      <c r="CG54" s="31"/>
      <c r="CM54" s="31"/>
      <c r="CN54" s="31"/>
      <c r="CT54" s="31"/>
      <c r="CU54" s="31"/>
      <c r="CV54" s="31"/>
      <c r="DA54" s="31"/>
      <c r="DB54" s="31"/>
      <c r="DC54" s="31"/>
      <c r="DH54" s="31"/>
      <c r="DI54" s="31"/>
      <c r="DO54" s="31"/>
      <c r="DP54" s="31"/>
      <c r="DR54" t="s">
        <v>869</v>
      </c>
      <c r="DS54" t="s">
        <v>837</v>
      </c>
      <c r="DT54" t="s">
        <v>527</v>
      </c>
      <c r="DU54" s="29" t="s">
        <v>838</v>
      </c>
      <c r="DV54" t="s">
        <v>173</v>
      </c>
      <c r="DW54" t="s">
        <v>366</v>
      </c>
      <c r="DX54" t="s">
        <v>171</v>
      </c>
      <c r="DY54" t="s">
        <v>168</v>
      </c>
      <c r="DZ54" t="s">
        <v>169</v>
      </c>
      <c r="EA54" s="22">
        <v>43077.177256944444</v>
      </c>
      <c r="EB54" t="s">
        <v>815</v>
      </c>
      <c r="EC54" t="s">
        <v>870</v>
      </c>
    </row>
    <row r="55" spans="1:133">
      <c r="A55" s="30"/>
      <c r="B55" s="22">
        <v>42954.456944444442</v>
      </c>
      <c r="C55" s="22" t="s">
        <v>808</v>
      </c>
      <c r="D55" s="30" t="s">
        <v>741</v>
      </c>
      <c r="E55" s="30" t="s">
        <v>526</v>
      </c>
      <c r="F55" s="30" t="s">
        <v>170</v>
      </c>
      <c r="G55" s="30" t="s">
        <v>172</v>
      </c>
      <c r="H55" t="s">
        <v>94</v>
      </c>
      <c r="I55" t="s">
        <v>809</v>
      </c>
      <c r="J55" t="s">
        <v>543</v>
      </c>
      <c r="L55">
        <v>1</v>
      </c>
      <c r="M55" s="26">
        <v>3.05</v>
      </c>
      <c r="N55" t="s">
        <v>248</v>
      </c>
      <c r="Q55" s="29" t="s">
        <v>13</v>
      </c>
      <c r="R55" s="29" t="str">
        <f>IFERROR(MID(RADataTable[[#This Row],[RAtemplate]],1,LEN(RADataTable[[#This Row],[RAtemplate]])-8),"RA") &amp; " " &amp; RADataTable[[#This Row],[prop_id0]] &amp; " " &amp; RADataTable[[#This Row],[last0]]</f>
        <v>RA 1755471 Tong</v>
      </c>
      <c r="U55" s="21" t="str">
        <f>IF(signer1="PD",IF(ISBLANK(RADataTable[[#This Row],[sign_blck_name]]),"",RADataTable[[#This Row],[sign_blck_name]]),IF(ISBLANK(signer1),"",signer1))</f>
        <v>Tracy J. Kimbrel</v>
      </c>
      <c r="V55" s="29" t="str">
        <f>signer2</f>
        <v>Cognizant Program Director</v>
      </c>
      <c r="W55" s="15" t="str">
        <f>HYPERLINK("https://www.ejacket.nsf.gov/ej/showProposal.do?Continue=Y&amp;ID="&amp;RADataTable[[#This Row],[prop_id0]],"eJ")</f>
        <v>eJ</v>
      </c>
      <c r="X55" s="15" t="str">
        <f>HYPERLINK("mailto:"&amp;RADataTable[[#This Row],[email]]&amp;"&amp;subject=Your NSF Proposal:  "&amp;RADataTable[[#This Row],[Div]]&amp;" "&amp;RADataTable[[#This Row],[prop_id0]], RADataTable[[#This Row],[email]])</f>
        <v>wtong@georgiasouthern.edu</v>
      </c>
      <c r="Y55" s="15" t="str">
        <f>HYPERLINK("mailto:"&amp;RADataTable[[#This Row],[allPIemail]]&amp;"&amp;subject=NSF Proposal:  "&amp;RADataTable[[#This Row],[Div]]&amp;" "&amp;RADataTable[[#This Row],[prop_id0]], "PIs@")</f>
        <v>PIs@</v>
      </c>
      <c r="Z55" t="s">
        <v>742</v>
      </c>
      <c r="AA55" t="s">
        <v>1847</v>
      </c>
      <c r="AB55">
        <v>3</v>
      </c>
      <c r="AC55">
        <v>3</v>
      </c>
      <c r="AD55"/>
      <c r="AE55" s="21" t="str">
        <f>IF(RADataTable[[#This Row],[maxScore]]-RADataTable[[#This Row],[minScore]]&gt;4,"Y","")</f>
        <v/>
      </c>
      <c r="AF55" s="21">
        <v>3</v>
      </c>
      <c r="AG55" s="26">
        <v>4</v>
      </c>
      <c r="AH55">
        <v>5</v>
      </c>
      <c r="AI55" t="s">
        <v>2236</v>
      </c>
      <c r="AJ55" s="30">
        <v>43060.386805555558</v>
      </c>
      <c r="AK55" s="13">
        <v>162689</v>
      </c>
      <c r="AL55" s="13">
        <v>162689</v>
      </c>
      <c r="AM55">
        <v>0</v>
      </c>
      <c r="AN55" s="30">
        <v>43235</v>
      </c>
      <c r="AO55" s="21">
        <v>24</v>
      </c>
      <c r="AP55" s="21" t="s">
        <v>2476</v>
      </c>
      <c r="AS55" s="30"/>
      <c r="AT55" t="s">
        <v>619</v>
      </c>
      <c r="AU55" s="21" t="s">
        <v>249</v>
      </c>
      <c r="AV55" s="21">
        <v>5</v>
      </c>
      <c r="AW55" s="21" t="s">
        <v>852</v>
      </c>
      <c r="AX55" s="30">
        <v>43060</v>
      </c>
      <c r="AY55" s="21" t="s">
        <v>2583</v>
      </c>
      <c r="AZ55" s="21" t="s">
        <v>854</v>
      </c>
      <c r="BA55" s="21">
        <v>12</v>
      </c>
      <c r="BG55" s="30"/>
      <c r="BP55" s="30"/>
      <c r="BU55" t="s">
        <v>1847</v>
      </c>
      <c r="BV55" s="21" t="s">
        <v>1848</v>
      </c>
      <c r="BW55" s="21" t="s">
        <v>2474</v>
      </c>
      <c r="BX55" s="21" t="s">
        <v>2475</v>
      </c>
      <c r="BY55" s="31">
        <v>162689</v>
      </c>
      <c r="BZ55" s="31">
        <v>162689</v>
      </c>
      <c r="CA55" t="s">
        <v>810</v>
      </c>
      <c r="CF55" s="31"/>
      <c r="CG55" s="31"/>
      <c r="CM55" s="31"/>
      <c r="CN55" s="31"/>
      <c r="CT55" s="31"/>
      <c r="CU55" s="31"/>
      <c r="CV55" s="31"/>
      <c r="DA55" s="31"/>
      <c r="DB55" s="31"/>
      <c r="DC55" s="31"/>
      <c r="DH55" s="31"/>
      <c r="DI55" s="31"/>
      <c r="DO55" s="31"/>
      <c r="DP55" s="31"/>
      <c r="DR55" t="s">
        <v>869</v>
      </c>
      <c r="DS55" t="s">
        <v>837</v>
      </c>
      <c r="DT55" t="s">
        <v>527</v>
      </c>
      <c r="DU55" s="29" t="s">
        <v>850</v>
      </c>
      <c r="DV55" t="s">
        <v>173</v>
      </c>
      <c r="DW55" t="s">
        <v>366</v>
      </c>
      <c r="DX55" t="s">
        <v>171</v>
      </c>
      <c r="DY55" t="s">
        <v>168</v>
      </c>
      <c r="DZ55" t="s">
        <v>169</v>
      </c>
      <c r="EA55" s="22">
        <v>43077.177256944444</v>
      </c>
      <c r="EB55" t="s">
        <v>2477</v>
      </c>
      <c r="EC55" t="s">
        <v>2687</v>
      </c>
    </row>
    <row r="56" spans="1:133">
      <c r="A56" s="30"/>
      <c r="B56" s="22">
        <v>42956.648611111108</v>
      </c>
      <c r="C56" s="22" t="s">
        <v>808</v>
      </c>
      <c r="D56" s="30" t="s">
        <v>741</v>
      </c>
      <c r="E56" s="30" t="s">
        <v>526</v>
      </c>
      <c r="F56" s="30" t="s">
        <v>170</v>
      </c>
      <c r="G56" s="30" t="s">
        <v>172</v>
      </c>
      <c r="H56" t="s">
        <v>94</v>
      </c>
      <c r="I56" t="s">
        <v>809</v>
      </c>
      <c r="J56" t="s">
        <v>543</v>
      </c>
      <c r="L56">
        <v>1</v>
      </c>
      <c r="M56" s="26">
        <v>3.05</v>
      </c>
      <c r="N56" t="s">
        <v>248</v>
      </c>
      <c r="Q56" s="29" t="s">
        <v>13</v>
      </c>
      <c r="R56" s="29" t="str">
        <f>IFERROR(MID(RADataTable[[#This Row],[RAtemplate]],1,LEN(RADataTable[[#This Row],[RAtemplate]])-8),"RA") &amp; " " &amp; RADataTable[[#This Row],[prop_id0]] &amp; " " &amp; RADataTable[[#This Row],[last0]]</f>
        <v>RA 1755885 Hosseini</v>
      </c>
      <c r="U56" s="21" t="str">
        <f>IF(signer1="PD",IF(ISBLANK(RADataTable[[#This Row],[sign_blck_name]]),"",RADataTable[[#This Row],[sign_blck_name]]),IF(ISBLANK(signer1),"",signer1))</f>
        <v>Tracy J. Kimbrel</v>
      </c>
      <c r="V56" s="29" t="str">
        <f>signer2</f>
        <v>Cognizant Program Director</v>
      </c>
      <c r="W56" s="15" t="str">
        <f>HYPERLINK("https://www.ejacket.nsf.gov/ej/showProposal.do?Continue=Y&amp;ID="&amp;RADataTable[[#This Row],[prop_id0]],"eJ")</f>
        <v>eJ</v>
      </c>
      <c r="X56" s="15" t="str">
        <f>HYPERLINK("mailto:"&amp;RADataTable[[#This Row],[email]]&amp;"&amp;subject=Your NSF Proposal:  "&amp;RADataTable[[#This Row],[Div]]&amp;" "&amp;RADataTable[[#This Row],[prop_id0]], RADataTable[[#This Row],[email]])</f>
        <v>hhvcs@rit.edu</v>
      </c>
      <c r="Y56" s="15" t="str">
        <f>HYPERLINK("mailto:"&amp;RADataTable[[#This Row],[allPIemail]]&amp;"&amp;subject=NSF Proposal:  "&amp;RADataTable[[#This Row],[Div]]&amp;" "&amp;RADataTable[[#This Row],[prop_id0]], "PIs@")</f>
        <v>PIs@</v>
      </c>
      <c r="Z56" t="s">
        <v>742</v>
      </c>
      <c r="AA56" t="s">
        <v>1931</v>
      </c>
      <c r="AB56">
        <v>3</v>
      </c>
      <c r="AC56">
        <v>3</v>
      </c>
      <c r="AD56"/>
      <c r="AE56" s="21" t="str">
        <f>IF(RADataTable[[#This Row],[maxScore]]-RADataTable[[#This Row],[minScore]]&gt;4,"Y","")</f>
        <v/>
      </c>
      <c r="AF56" s="21">
        <v>5</v>
      </c>
      <c r="AG56" s="26">
        <v>5.666666666666667</v>
      </c>
      <c r="AH56">
        <v>7</v>
      </c>
      <c r="AI56" t="s">
        <v>2248</v>
      </c>
      <c r="AJ56" s="30">
        <v>43059.231249999997</v>
      </c>
      <c r="AK56" s="13">
        <v>173878</v>
      </c>
      <c r="AL56" s="13">
        <v>173878</v>
      </c>
      <c r="AM56">
        <v>0</v>
      </c>
      <c r="AN56" s="30">
        <v>43344</v>
      </c>
      <c r="AO56" s="21">
        <v>24</v>
      </c>
      <c r="AP56" s="21" t="s">
        <v>2503</v>
      </c>
      <c r="AS56" s="30"/>
      <c r="AT56" t="s">
        <v>619</v>
      </c>
      <c r="AU56" s="21" t="s">
        <v>249</v>
      </c>
      <c r="AV56" s="21">
        <v>5</v>
      </c>
      <c r="AW56" s="21" t="s">
        <v>852</v>
      </c>
      <c r="AX56" s="30">
        <v>43060</v>
      </c>
      <c r="AY56" s="21" t="s">
        <v>2588</v>
      </c>
      <c r="AZ56" s="21" t="s">
        <v>854</v>
      </c>
      <c r="BA56" s="21">
        <v>12</v>
      </c>
      <c r="BG56" s="30"/>
      <c r="BP56" s="30"/>
      <c r="BU56" t="s">
        <v>1931</v>
      </c>
      <c r="BV56" s="21" t="s">
        <v>1932</v>
      </c>
      <c r="BW56" s="21" t="s">
        <v>811</v>
      </c>
      <c r="BX56" s="21" t="s">
        <v>2502</v>
      </c>
      <c r="BY56" s="31">
        <v>173878</v>
      </c>
      <c r="BZ56" s="31">
        <v>173878</v>
      </c>
      <c r="CA56" t="s">
        <v>2485</v>
      </c>
      <c r="CF56" s="31"/>
      <c r="CG56" s="31"/>
      <c r="CM56" s="31"/>
      <c r="CN56" s="31"/>
      <c r="CT56" s="31"/>
      <c r="CU56" s="31"/>
      <c r="CV56" s="31"/>
      <c r="DA56" s="31"/>
      <c r="DB56" s="31"/>
      <c r="DC56" s="31"/>
      <c r="DH56" s="31"/>
      <c r="DI56" s="31"/>
      <c r="DO56" s="31"/>
      <c r="DP56" s="31"/>
      <c r="DR56" t="s">
        <v>869</v>
      </c>
      <c r="DS56" t="s">
        <v>837</v>
      </c>
      <c r="DT56" t="s">
        <v>527</v>
      </c>
      <c r="DU56" s="29" t="s">
        <v>850</v>
      </c>
      <c r="DV56" t="s">
        <v>173</v>
      </c>
      <c r="DW56" t="s">
        <v>366</v>
      </c>
      <c r="DX56" t="s">
        <v>171</v>
      </c>
      <c r="DY56" t="s">
        <v>168</v>
      </c>
      <c r="DZ56" t="s">
        <v>169</v>
      </c>
      <c r="EA56" s="22">
        <v>43077.177256944444</v>
      </c>
      <c r="EB56" t="s">
        <v>2504</v>
      </c>
      <c r="EC56" t="s">
        <v>2704</v>
      </c>
    </row>
    <row r="57" spans="1:133">
      <c r="A57" s="30"/>
      <c r="B57" s="22">
        <v>42956.695833333331</v>
      </c>
      <c r="C57" s="22" t="s">
        <v>808</v>
      </c>
      <c r="D57" s="30" t="s">
        <v>741</v>
      </c>
      <c r="E57" s="30" t="s">
        <v>526</v>
      </c>
      <c r="F57" s="30" t="s">
        <v>170</v>
      </c>
      <c r="G57" s="30" t="s">
        <v>172</v>
      </c>
      <c r="H57" t="s">
        <v>94</v>
      </c>
      <c r="I57" t="s">
        <v>809</v>
      </c>
      <c r="J57" t="s">
        <v>543</v>
      </c>
      <c r="L57">
        <v>1</v>
      </c>
      <c r="M57" s="26">
        <v>3.05</v>
      </c>
      <c r="N57" t="s">
        <v>248</v>
      </c>
      <c r="Q57" s="29" t="s">
        <v>13</v>
      </c>
      <c r="R57" s="29" t="str">
        <f>IFERROR(MID(RADataTable[[#This Row],[RAtemplate]],1,LEN(RADataTable[[#This Row],[RAtemplate]])-8),"RA") &amp; " " &amp; RADataTable[[#This Row],[prop_id0]] &amp; " " &amp; RADataTable[[#This Row],[last0]]</f>
        <v>RA 1755950 Escobedo</v>
      </c>
      <c r="U57" s="21" t="str">
        <f>IF(signer1="PD",IF(ISBLANK(RADataTable[[#This Row],[sign_blck_name]]),"",RADataTable[[#This Row],[sign_blck_name]]),IF(ISBLANK(signer1),"",signer1))</f>
        <v>Tracy J. Kimbrel</v>
      </c>
      <c r="V57" s="29" t="str">
        <f>signer2</f>
        <v>Cognizant Program Director</v>
      </c>
      <c r="W57" s="15" t="str">
        <f>HYPERLINK("https://www.ejacket.nsf.gov/ej/showProposal.do?Continue=Y&amp;ID="&amp;RADataTable[[#This Row],[prop_id0]],"eJ")</f>
        <v>eJ</v>
      </c>
      <c r="X57" s="15" t="str">
        <f>HYPERLINK("mailto:"&amp;RADataTable[[#This Row],[email]]&amp;"&amp;subject=Your NSF Proposal:  "&amp;RADataTable[[#This Row],[Div]]&amp;" "&amp;RADataTable[[#This Row],[prop_id0]], RADataTable[[#This Row],[email]])</f>
        <v>adres@asu.edu</v>
      </c>
      <c r="Y57" s="15" t="str">
        <f>HYPERLINK("mailto:"&amp;RADataTable[[#This Row],[allPIemail]]&amp;"&amp;subject=NSF Proposal:  "&amp;RADataTable[[#This Row],[Div]]&amp;" "&amp;RADataTable[[#This Row],[prop_id0]], "PIs@")</f>
        <v>PIs@</v>
      </c>
      <c r="Z57" t="s">
        <v>742</v>
      </c>
      <c r="AA57" t="s">
        <v>1945</v>
      </c>
      <c r="AB57">
        <v>3</v>
      </c>
      <c r="AC57">
        <v>3</v>
      </c>
      <c r="AD57"/>
      <c r="AE57" s="21" t="str">
        <f>IF(RADataTable[[#This Row],[maxScore]]-RADataTable[[#This Row],[minScore]]&gt;4,"Y","")</f>
        <v/>
      </c>
      <c r="AF57" s="21">
        <v>4</v>
      </c>
      <c r="AG57" s="26">
        <v>5</v>
      </c>
      <c r="AH57">
        <v>6</v>
      </c>
      <c r="AI57" t="s">
        <v>2510</v>
      </c>
      <c r="AJ57" s="30">
        <v>43058.972916666666</v>
      </c>
      <c r="AK57" s="13">
        <v>175000</v>
      </c>
      <c r="AL57" s="13">
        <v>175000</v>
      </c>
      <c r="AM57">
        <v>0</v>
      </c>
      <c r="AN57" s="30">
        <v>43328</v>
      </c>
      <c r="AO57" s="21">
        <v>24</v>
      </c>
      <c r="AP57" s="21" t="s">
        <v>2511</v>
      </c>
      <c r="AS57" s="30"/>
      <c r="AT57" t="s">
        <v>619</v>
      </c>
      <c r="AU57" s="21" t="s">
        <v>249</v>
      </c>
      <c r="AV57" s="21">
        <v>5</v>
      </c>
      <c r="AW57" s="21" t="s">
        <v>852</v>
      </c>
      <c r="AX57" s="30">
        <v>43060</v>
      </c>
      <c r="AY57" s="21" t="s">
        <v>2706</v>
      </c>
      <c r="AZ57" s="21" t="s">
        <v>854</v>
      </c>
      <c r="BA57" s="21">
        <v>12</v>
      </c>
      <c r="BG57" s="30"/>
      <c r="BP57" s="30"/>
      <c r="BU57" t="s">
        <v>1945</v>
      </c>
      <c r="BV57" s="21" t="s">
        <v>1946</v>
      </c>
      <c r="BW57" s="21" t="s">
        <v>2508</v>
      </c>
      <c r="BX57" s="21" t="s">
        <v>2509</v>
      </c>
      <c r="BY57" s="31">
        <v>175000</v>
      </c>
      <c r="BZ57" s="31">
        <v>175000</v>
      </c>
      <c r="CA57" t="s">
        <v>2485</v>
      </c>
      <c r="CF57" s="31"/>
      <c r="CG57" s="31"/>
      <c r="CM57" s="31"/>
      <c r="CN57" s="31"/>
      <c r="CT57" s="31"/>
      <c r="CU57" s="31"/>
      <c r="CV57" s="31"/>
      <c r="DA57" s="31"/>
      <c r="DB57" s="31"/>
      <c r="DC57" s="31"/>
      <c r="DH57" s="31"/>
      <c r="DI57" s="31"/>
      <c r="DO57" s="31"/>
      <c r="DP57" s="31"/>
      <c r="DR57" t="s">
        <v>869</v>
      </c>
      <c r="DS57" t="s">
        <v>837</v>
      </c>
      <c r="DT57" t="s">
        <v>527</v>
      </c>
      <c r="DU57" s="29" t="s">
        <v>850</v>
      </c>
      <c r="DV57" t="s">
        <v>173</v>
      </c>
      <c r="DW57" t="s">
        <v>366</v>
      </c>
      <c r="DX57" t="s">
        <v>171</v>
      </c>
      <c r="DY57" t="s">
        <v>168</v>
      </c>
      <c r="DZ57" t="s">
        <v>169</v>
      </c>
      <c r="EA57" s="22">
        <v>43077.177256944444</v>
      </c>
      <c r="EB57" t="s">
        <v>2512</v>
      </c>
      <c r="EC57" t="s">
        <v>2707</v>
      </c>
    </row>
    <row r="58" spans="1:133">
      <c r="A58" s="30"/>
      <c r="B58" s="22">
        <v>42956.439583333333</v>
      </c>
      <c r="C58" s="22" t="s">
        <v>808</v>
      </c>
      <c r="D58" s="30" t="s">
        <v>2348</v>
      </c>
      <c r="E58" s="30" t="s">
        <v>903</v>
      </c>
      <c r="F58" s="30" t="s">
        <v>170</v>
      </c>
      <c r="G58" s="30" t="s">
        <v>172</v>
      </c>
      <c r="H58" t="s">
        <v>94</v>
      </c>
      <c r="I58" t="s">
        <v>2468</v>
      </c>
      <c r="J58" t="s">
        <v>1877</v>
      </c>
      <c r="K58" s="22">
        <v>43070.440868055557</v>
      </c>
      <c r="L58">
        <v>2</v>
      </c>
      <c r="M58" s="26">
        <v>3.09</v>
      </c>
      <c r="N58" t="s">
        <v>344</v>
      </c>
      <c r="O58" t="s">
        <v>248</v>
      </c>
      <c r="Q58" s="29" t="s">
        <v>13</v>
      </c>
      <c r="R58" s="29" t="str">
        <f>IFERROR(MID(RADataTable[[#This Row],[RAtemplate]],1,LEN(RADataTable[[#This Row],[RAtemplate]])-8),"RA") &amp; " " &amp; RADataTable[[#This Row],[prop_id0]] &amp; " " &amp; RADataTable[[#This Row],[last0]]</f>
        <v>RA 1755679 FANG</v>
      </c>
      <c r="U58" s="21" t="str">
        <f>IF(signer1="PD",IF(ISBLANK(RADataTable[[#This Row],[sign_blck_name]]),"",RADataTable[[#This Row],[sign_blck_name]]),IF(ISBLANK(signer1),"",signer1))</f>
        <v>James Donlon</v>
      </c>
      <c r="V58" s="29" t="str">
        <f>signer2</f>
        <v>Cognizant Program Director</v>
      </c>
      <c r="W58" s="15" t="str">
        <f>HYPERLINK("https://www.ejacket.nsf.gov/ej/showProposal.do?Continue=Y&amp;ID="&amp;RADataTable[[#This Row],[prop_id0]],"eJ")</f>
        <v>eJ</v>
      </c>
      <c r="X58" s="15" t="str">
        <f>HYPERLINK("mailto:"&amp;RADataTable[[#This Row],[email]]&amp;"&amp;subject=Your NSF Proposal:  "&amp;RADataTable[[#This Row],[Div]]&amp;" "&amp;RADataTable[[#This Row],[prop_id0]], RADataTable[[#This Row],[email]])</f>
        <v>feifang@cmu.edu</v>
      </c>
      <c r="Y58" s="15" t="str">
        <f>HYPERLINK("mailto:"&amp;RADataTable[[#This Row],[allPIemail]]&amp;"&amp;subject=NSF Proposal:  "&amp;RADataTable[[#This Row],[Div]]&amp;" "&amp;RADataTable[[#This Row],[prop_id0]], "PIs@")</f>
        <v>PIs@</v>
      </c>
      <c r="Z58" t="s">
        <v>2351</v>
      </c>
      <c r="AA58" t="s">
        <v>1874</v>
      </c>
      <c r="AB58">
        <v>5</v>
      </c>
      <c r="AD58"/>
      <c r="AE58" s="21" t="str">
        <f>IF(RADataTable[[#This Row],[maxScore]]-RADataTable[[#This Row],[minScore]]&gt;4,"Y","")</f>
        <v>Y</v>
      </c>
      <c r="AF58" s="21">
        <v>3</v>
      </c>
      <c r="AG58" s="26">
        <v>5.6</v>
      </c>
      <c r="AH58">
        <v>9</v>
      </c>
      <c r="AI58" t="s">
        <v>2490</v>
      </c>
      <c r="AJ58" s="30">
        <v>43068.363194444442</v>
      </c>
      <c r="AK58" s="13">
        <v>175000</v>
      </c>
      <c r="AL58" s="13">
        <v>175000</v>
      </c>
      <c r="AM58">
        <v>0</v>
      </c>
      <c r="AN58" s="30">
        <v>43101</v>
      </c>
      <c r="AO58" s="21">
        <v>24</v>
      </c>
      <c r="AP58" s="21" t="s">
        <v>2491</v>
      </c>
      <c r="AS58" s="30"/>
      <c r="AT58" t="s">
        <v>619</v>
      </c>
      <c r="AU58" s="21" t="s">
        <v>365</v>
      </c>
      <c r="AV58" s="21">
        <v>9</v>
      </c>
      <c r="AW58" s="21" t="s">
        <v>852</v>
      </c>
      <c r="AX58" s="30">
        <v>43060</v>
      </c>
      <c r="AY58" s="21" t="s">
        <v>2552</v>
      </c>
      <c r="AZ58" s="21" t="s">
        <v>854</v>
      </c>
      <c r="BA58" s="21">
        <v>12</v>
      </c>
      <c r="BB58" s="21">
        <v>2</v>
      </c>
      <c r="BC58" s="21" t="s">
        <v>1878</v>
      </c>
      <c r="BD58" s="21" t="s">
        <v>249</v>
      </c>
      <c r="BF58" s="21" t="s">
        <v>2692</v>
      </c>
      <c r="BG58" s="30">
        <v>43068</v>
      </c>
      <c r="BH58" s="21" t="s">
        <v>2693</v>
      </c>
      <c r="BI58" s="21" t="s">
        <v>2694</v>
      </c>
      <c r="BJ58" s="21">
        <v>6</v>
      </c>
      <c r="BP58" s="30"/>
      <c r="BU58" t="s">
        <v>1874</v>
      </c>
      <c r="BV58" s="21" t="s">
        <v>1875</v>
      </c>
      <c r="BW58" s="21" t="s">
        <v>2489</v>
      </c>
      <c r="BX58" s="21" t="s">
        <v>2127</v>
      </c>
      <c r="BY58" s="31">
        <v>175000</v>
      </c>
      <c r="BZ58" s="31">
        <v>175000</v>
      </c>
      <c r="CA58" t="s">
        <v>2469</v>
      </c>
      <c r="CF58" s="31"/>
      <c r="CG58" s="31"/>
      <c r="CM58" s="31"/>
      <c r="CN58" s="31"/>
      <c r="CT58" s="31"/>
      <c r="CU58" s="31"/>
      <c r="CV58" s="31"/>
      <c r="DA58" s="31"/>
      <c r="DB58" s="31"/>
      <c r="DC58" s="31"/>
      <c r="DH58" s="31"/>
      <c r="DI58" s="31"/>
      <c r="DO58" s="31"/>
      <c r="DP58" s="31"/>
      <c r="DR58" t="s">
        <v>869</v>
      </c>
      <c r="DS58" t="s">
        <v>2624</v>
      </c>
      <c r="DT58" t="s">
        <v>904</v>
      </c>
      <c r="DU58" s="29" t="s">
        <v>2695</v>
      </c>
      <c r="DV58" t="s">
        <v>2353</v>
      </c>
      <c r="DW58" t="s">
        <v>366</v>
      </c>
      <c r="DX58" t="s">
        <v>171</v>
      </c>
      <c r="DY58" t="s">
        <v>168</v>
      </c>
      <c r="DZ58" t="s">
        <v>169</v>
      </c>
      <c r="EA58" s="22">
        <v>43077.177256944444</v>
      </c>
      <c r="EB58" t="s">
        <v>2492</v>
      </c>
      <c r="EC58" t="s">
        <v>2696</v>
      </c>
    </row>
    <row r="59" spans="1:133">
      <c r="A59" s="30">
        <v>42955.682905092595</v>
      </c>
      <c r="B59" s="22">
        <v>42808.504861111112</v>
      </c>
      <c r="C59" s="22" t="s">
        <v>1965</v>
      </c>
      <c r="D59" s="30" t="s">
        <v>741</v>
      </c>
      <c r="E59" s="30" t="s">
        <v>901</v>
      </c>
      <c r="F59" s="30" t="s">
        <v>170</v>
      </c>
      <c r="G59" s="30" t="s">
        <v>1966</v>
      </c>
      <c r="H59" t="s">
        <v>94</v>
      </c>
      <c r="I59" t="s">
        <v>1967</v>
      </c>
      <c r="J59" t="s">
        <v>948</v>
      </c>
      <c r="K59" s="22">
        <v>42955.345277777778</v>
      </c>
      <c r="L59">
        <v>1</v>
      </c>
      <c r="M59" s="26">
        <v>3.1</v>
      </c>
      <c r="N59" t="s">
        <v>923</v>
      </c>
      <c r="Q59" s="29" t="s">
        <v>13</v>
      </c>
      <c r="R59" s="29" t="str">
        <f>IFERROR(MID(RADataTable[[#This Row],[RAtemplate]],1,LEN(RADataTable[[#This Row],[RAtemplate]])-8),"RA") &amp; " " &amp; RADataTable[[#This Row],[prop_id0]] &amp; " " &amp; RADataTable[[#This Row],[last0]]</f>
        <v>RA 1740646 Valiant</v>
      </c>
      <c r="U59" s="21" t="str">
        <f>IF(signer1="PD",IF(ISBLANK(RADataTable[[#This Row],[sign_blck_name]]),"",RADataTable[[#This Row],[sign_blck_name]]),IF(ISBLANK(signer1),"",signer1))</f>
        <v>Christopher W. Stark</v>
      </c>
      <c r="V59" s="29" t="str">
        <f>signer2</f>
        <v>Cognizant Program Director</v>
      </c>
      <c r="W59" s="15" t="str">
        <f>HYPERLINK("https://www.ejacket.nsf.gov/ej/showProposal.do?Continue=Y&amp;ID="&amp;RADataTable[[#This Row],[prop_id0]],"eJ")</f>
        <v>eJ</v>
      </c>
      <c r="X59" s="15" t="str">
        <f>HYPERLINK("mailto:"&amp;RADataTable[[#This Row],[email]]&amp;"&amp;subject=Your NSF Proposal:  "&amp;RADataTable[[#This Row],[Div]]&amp;" "&amp;RADataTable[[#This Row],[prop_id0]], RADataTable[[#This Row],[email]])</f>
        <v>gvaliant@cs.stanford.edu</v>
      </c>
      <c r="Y59" s="15" t="str">
        <f>HYPERLINK("mailto:"&amp;RADataTable[[#This Row],[allPIemail]]&amp;"&amp;subject=NSF Proposal:  "&amp;RADataTable[[#This Row],[Div]]&amp;" "&amp;RADataTable[[#This Row],[prop_id0]], "PIs@")</f>
        <v>PIs@</v>
      </c>
      <c r="Z59" t="s">
        <v>742</v>
      </c>
      <c r="AA59" t="s">
        <v>1030</v>
      </c>
      <c r="AB59">
        <v>3</v>
      </c>
      <c r="AD59"/>
      <c r="AE59" s="21" t="str">
        <f>IF(RADataTable[[#This Row],[maxScore]]-RADataTable[[#This Row],[minScore]]&gt;4,"Y","")</f>
        <v/>
      </c>
      <c r="AF59" s="21">
        <v>4</v>
      </c>
      <c r="AG59" s="26">
        <v>6</v>
      </c>
      <c r="AH59">
        <v>7</v>
      </c>
      <c r="AI59" t="s">
        <v>2036</v>
      </c>
      <c r="AJ59" s="30">
        <v>42878.31527777778</v>
      </c>
      <c r="AK59" s="13">
        <v>1498915</v>
      </c>
      <c r="AL59" s="13">
        <v>1498915</v>
      </c>
      <c r="AM59">
        <v>0</v>
      </c>
      <c r="AN59" s="30">
        <v>43009</v>
      </c>
      <c r="AO59" s="21">
        <v>36</v>
      </c>
      <c r="AP59" s="21" t="s">
        <v>2037</v>
      </c>
      <c r="AS59" s="30"/>
      <c r="AT59" t="s">
        <v>943</v>
      </c>
      <c r="AU59" s="21" t="s">
        <v>921</v>
      </c>
      <c r="AV59" s="21">
        <v>10</v>
      </c>
      <c r="AW59" s="21" t="s">
        <v>2521</v>
      </c>
      <c r="AX59" s="30">
        <v>42878</v>
      </c>
      <c r="AY59" s="21" t="s">
        <v>2535</v>
      </c>
      <c r="AZ59" s="21" t="s">
        <v>2523</v>
      </c>
      <c r="BA59" s="21">
        <v>12</v>
      </c>
      <c r="BG59" s="30"/>
      <c r="BP59" s="30"/>
      <c r="BU59" t="s">
        <v>1030</v>
      </c>
      <c r="BV59" s="21" t="s">
        <v>1031</v>
      </c>
      <c r="BW59" s="21" t="s">
        <v>2034</v>
      </c>
      <c r="BX59" s="21" t="s">
        <v>2035</v>
      </c>
      <c r="BY59" s="31">
        <v>1498915</v>
      </c>
      <c r="BZ59" s="31">
        <v>1498915</v>
      </c>
      <c r="CA59" t="s">
        <v>2007</v>
      </c>
      <c r="CF59" s="31"/>
      <c r="CG59" s="31"/>
      <c r="CM59" s="31"/>
      <c r="CN59" s="31"/>
      <c r="CT59" s="31"/>
      <c r="CU59" s="31"/>
      <c r="CV59" s="31"/>
      <c r="DA59" s="31"/>
      <c r="DB59" s="31"/>
      <c r="DC59" s="31"/>
      <c r="DH59" s="31"/>
      <c r="DI59" s="31"/>
      <c r="DO59" s="31"/>
      <c r="DP59" s="31"/>
      <c r="DR59" t="s">
        <v>2519</v>
      </c>
      <c r="DS59" t="s">
        <v>837</v>
      </c>
      <c r="DT59" t="s">
        <v>902</v>
      </c>
      <c r="DU59" s="29" t="s">
        <v>2524</v>
      </c>
      <c r="DV59" t="s">
        <v>1971</v>
      </c>
      <c r="DW59" t="s">
        <v>366</v>
      </c>
      <c r="DX59" t="s">
        <v>171</v>
      </c>
      <c r="DY59" t="s">
        <v>168</v>
      </c>
      <c r="DZ59" t="s">
        <v>169</v>
      </c>
      <c r="EA59" s="22">
        <v>43077.177256944444</v>
      </c>
      <c r="EB59" t="s">
        <v>2038</v>
      </c>
      <c r="EC59" t="s">
        <v>2536</v>
      </c>
    </row>
    <row r="60" spans="1:133">
      <c r="A60" s="30">
        <v>42957.711018518516</v>
      </c>
      <c r="B60" s="22">
        <v>42808.611805555556</v>
      </c>
      <c r="C60" s="22" t="s">
        <v>1965</v>
      </c>
      <c r="D60" s="30" t="s">
        <v>741</v>
      </c>
      <c r="E60" s="30" t="s">
        <v>901</v>
      </c>
      <c r="F60" s="30" t="s">
        <v>170</v>
      </c>
      <c r="G60" s="30" t="s">
        <v>1966</v>
      </c>
      <c r="H60" t="s">
        <v>94</v>
      </c>
      <c r="I60" t="s">
        <v>1967</v>
      </c>
      <c r="J60" t="s">
        <v>948</v>
      </c>
      <c r="K60" s="22">
        <v>42957.361666666664</v>
      </c>
      <c r="L60">
        <v>1</v>
      </c>
      <c r="M60" s="26">
        <v>3.1</v>
      </c>
      <c r="N60" t="s">
        <v>923</v>
      </c>
      <c r="Q60" s="29" t="s">
        <v>13</v>
      </c>
      <c r="R60" s="29" t="str">
        <f>IFERROR(MID(RADataTable[[#This Row],[RAtemplate]],1,LEN(RADataTable[[#This Row],[RAtemplate]])-8),"RA") &amp; " " &amp; RADataTable[[#This Row],[prop_id0]] &amp; " " &amp; RADataTable[[#This Row],[last0]]</f>
        <v>RA 1740672 Szpankowski</v>
      </c>
      <c r="U60" s="21" t="str">
        <f>IF(signer1="PD",IF(ISBLANK(RADataTable[[#This Row],[sign_blck_name]]),"",RADataTable[[#This Row],[sign_blck_name]]),IF(ISBLANK(signer1),"",signer1))</f>
        <v>Christopher W. Stark</v>
      </c>
      <c r="V60" s="29" t="str">
        <f>signer2</f>
        <v>Cognizant Program Director</v>
      </c>
      <c r="W60" s="15" t="str">
        <f>HYPERLINK("https://www.ejacket.nsf.gov/ej/showProposal.do?Continue=Y&amp;ID="&amp;RADataTable[[#This Row],[prop_id0]],"eJ")</f>
        <v>eJ</v>
      </c>
      <c r="X60" s="15" t="str">
        <f>HYPERLINK("mailto:"&amp;RADataTable[[#This Row],[email]]&amp;"&amp;subject=Your NSF Proposal:  "&amp;RADataTable[[#This Row],[Div]]&amp;" "&amp;RADataTable[[#This Row],[prop_id0]], RADataTable[[#This Row],[email]])</f>
        <v>spa@cs.purdue.edu</v>
      </c>
      <c r="Y60" s="15" t="str">
        <f>HYPERLINK("mailto:"&amp;RADataTable[[#This Row],[allPIemail]]&amp;"&amp;subject=NSF Proposal:  "&amp;RADataTable[[#This Row],[Div]]&amp;" "&amp;RADataTable[[#This Row],[prop_id0]], "PIs@")</f>
        <v>PIs@</v>
      </c>
      <c r="Z60" t="s">
        <v>742</v>
      </c>
      <c r="AA60" t="s">
        <v>1041</v>
      </c>
      <c r="AB60">
        <v>3</v>
      </c>
      <c r="AD60"/>
      <c r="AE60" s="21" t="str">
        <f>IF(RADataTable[[#This Row],[maxScore]]-RADataTable[[#This Row],[minScore]]&gt;4,"Y","")</f>
        <v/>
      </c>
      <c r="AF60" s="21">
        <v>3</v>
      </c>
      <c r="AG60" s="26">
        <v>4.666666666666667</v>
      </c>
      <c r="AH60">
        <v>7</v>
      </c>
      <c r="AI60" t="s">
        <v>2042</v>
      </c>
      <c r="AJ60" s="30">
        <v>42880.186805555553</v>
      </c>
      <c r="AK60" s="13">
        <v>1500000</v>
      </c>
      <c r="AL60" s="13">
        <v>1500000</v>
      </c>
      <c r="AM60">
        <v>0</v>
      </c>
      <c r="AN60" s="30">
        <v>42979</v>
      </c>
      <c r="AO60" s="21">
        <v>36</v>
      </c>
      <c r="AP60" s="21" t="s">
        <v>2043</v>
      </c>
      <c r="AS60" s="30"/>
      <c r="AT60" t="s">
        <v>943</v>
      </c>
      <c r="AU60" s="21" t="s">
        <v>921</v>
      </c>
      <c r="AV60" s="21">
        <v>10</v>
      </c>
      <c r="AW60" s="21" t="s">
        <v>2521</v>
      </c>
      <c r="AX60" s="30">
        <v>42878</v>
      </c>
      <c r="AY60" s="21" t="s">
        <v>2537</v>
      </c>
      <c r="AZ60" s="21" t="s">
        <v>2523</v>
      </c>
      <c r="BA60" s="21">
        <v>12</v>
      </c>
      <c r="BB60" s="21">
        <v>1</v>
      </c>
      <c r="BG60" s="30"/>
      <c r="BP60" s="30"/>
      <c r="BU60" t="s">
        <v>1041</v>
      </c>
      <c r="BV60" s="21" t="s">
        <v>1042</v>
      </c>
      <c r="BW60" s="21" t="s">
        <v>2040</v>
      </c>
      <c r="BX60" s="21" t="s">
        <v>2041</v>
      </c>
      <c r="BY60" s="31">
        <v>900000</v>
      </c>
      <c r="BZ60" s="31">
        <v>900000</v>
      </c>
      <c r="CA60" t="s">
        <v>1968</v>
      </c>
      <c r="CB60" s="21" t="s">
        <v>2045</v>
      </c>
      <c r="CC60" s="21" t="s">
        <v>2046</v>
      </c>
      <c r="CD60" s="21" t="s">
        <v>2047</v>
      </c>
      <c r="CE60" s="21" t="s">
        <v>2048</v>
      </c>
      <c r="CF60" s="31">
        <v>180000</v>
      </c>
      <c r="CG60" s="31">
        <v>180000</v>
      </c>
      <c r="CH60" t="s">
        <v>1968</v>
      </c>
      <c r="CI60" s="21" t="s">
        <v>2051</v>
      </c>
      <c r="CJ60" s="21" t="s">
        <v>2052</v>
      </c>
      <c r="CK60" s="21" t="s">
        <v>2053</v>
      </c>
      <c r="CL60" s="21" t="s">
        <v>339</v>
      </c>
      <c r="CM60" s="31">
        <v>270000</v>
      </c>
      <c r="CN60" s="31">
        <v>270000</v>
      </c>
      <c r="CO60" t="s">
        <v>1968</v>
      </c>
      <c r="CP60" s="21" t="s">
        <v>2055</v>
      </c>
      <c r="CQ60" s="21" t="s">
        <v>2056</v>
      </c>
      <c r="CR60" s="21" t="s">
        <v>2057</v>
      </c>
      <c r="CS60" s="21" t="s">
        <v>2058</v>
      </c>
      <c r="CT60" s="31">
        <v>150000</v>
      </c>
      <c r="CU60" s="31">
        <v>150000</v>
      </c>
      <c r="CV60" s="31" t="s">
        <v>1968</v>
      </c>
      <c r="DA60" s="31"/>
      <c r="DB60" s="31"/>
      <c r="DC60" s="31"/>
      <c r="DH60" s="31"/>
      <c r="DI60" s="31"/>
      <c r="DO60" s="31"/>
      <c r="DP60" s="31"/>
      <c r="DR60" t="s">
        <v>2519</v>
      </c>
      <c r="DS60" t="s">
        <v>837</v>
      </c>
      <c r="DT60" t="s">
        <v>902</v>
      </c>
      <c r="DU60" s="29" t="s">
        <v>2524</v>
      </c>
      <c r="DV60" t="s">
        <v>1971</v>
      </c>
      <c r="DW60" t="s">
        <v>366</v>
      </c>
      <c r="DX60" t="s">
        <v>171</v>
      </c>
      <c r="DY60" t="s">
        <v>168</v>
      </c>
      <c r="DZ60" t="s">
        <v>169</v>
      </c>
      <c r="EA60" s="22">
        <v>43077.177256944444</v>
      </c>
      <c r="EB60" t="s">
        <v>2044</v>
      </c>
      <c r="EC60" t="s">
        <v>2538</v>
      </c>
    </row>
    <row r="61" spans="1:133">
      <c r="A61" s="30">
        <v>42964.70815972222</v>
      </c>
      <c r="B61" s="22">
        <v>42809.422222222223</v>
      </c>
      <c r="C61" s="22" t="s">
        <v>1965</v>
      </c>
      <c r="D61" s="30" t="s">
        <v>741</v>
      </c>
      <c r="E61" s="30" t="s">
        <v>901</v>
      </c>
      <c r="F61" s="30" t="s">
        <v>170</v>
      </c>
      <c r="G61" s="30" t="s">
        <v>1966</v>
      </c>
      <c r="H61" t="s">
        <v>94</v>
      </c>
      <c r="I61" t="s">
        <v>1967</v>
      </c>
      <c r="J61" t="s">
        <v>948</v>
      </c>
      <c r="K61" s="22">
        <v>42958.628692129627</v>
      </c>
      <c r="L61">
        <v>1</v>
      </c>
      <c r="M61" s="26">
        <v>3.1</v>
      </c>
      <c r="N61" t="s">
        <v>923</v>
      </c>
      <c r="Q61" s="29" t="s">
        <v>13</v>
      </c>
      <c r="R61" s="29" t="str">
        <f>IFERROR(MID(RADataTable[[#This Row],[RAtemplate]],1,LEN(RADataTable[[#This Row],[RAtemplate]])-8),"RA") &amp; " " &amp; RADataTable[[#This Row],[prop_id0]] &amp; " " &amp; RADataTable[[#This Row],[last0]]</f>
        <v>RA 1740733 Rajan</v>
      </c>
      <c r="U61" s="21" t="str">
        <f>IF(signer1="PD",IF(ISBLANK(RADataTable[[#This Row],[sign_blck_name]]),"",RADataTable[[#This Row],[sign_blck_name]]),IF(ISBLANK(signer1),"",signer1))</f>
        <v>Christopher W. Stark</v>
      </c>
      <c r="V61" s="29" t="str">
        <f>signer2</f>
        <v>Cognizant Program Director</v>
      </c>
      <c r="W61" s="15" t="str">
        <f>HYPERLINK("https://www.ejacket.nsf.gov/ej/showProposal.do?Continue=Y&amp;ID="&amp;RADataTable[[#This Row],[prop_id0]],"eJ")</f>
        <v>eJ</v>
      </c>
      <c r="X61" s="15" t="str">
        <f>HYPERLINK("mailto:"&amp;RADataTable[[#This Row],[email]]&amp;"&amp;subject=Your NSF Proposal:  "&amp;RADataTable[[#This Row],[Div]]&amp;" "&amp;RADataTable[[#This Row],[prop_id0]], RADataTable[[#This Row],[email]])</f>
        <v>hridesh@iastate.edu</v>
      </c>
      <c r="Y61" s="15" t="str">
        <f>HYPERLINK("mailto:"&amp;RADataTable[[#This Row],[allPIemail]]&amp;"&amp;subject=NSF Proposal:  "&amp;RADataTable[[#This Row],[Div]]&amp;" "&amp;RADataTable[[#This Row],[prop_id0]], "PIs@")</f>
        <v>PIs@</v>
      </c>
      <c r="Z61" t="s">
        <v>742</v>
      </c>
      <c r="AA61" t="s">
        <v>1073</v>
      </c>
      <c r="AB61">
        <v>3</v>
      </c>
      <c r="AD61"/>
      <c r="AE61" s="21" t="str">
        <f>IF(RADataTable[[#This Row],[maxScore]]-RADataTable[[#This Row],[minScore]]&gt;4,"Y","")</f>
        <v/>
      </c>
      <c r="AF61" s="21">
        <v>5</v>
      </c>
      <c r="AG61" s="26">
        <v>6.333333333333333</v>
      </c>
      <c r="AH61">
        <v>8</v>
      </c>
      <c r="AI61" t="s">
        <v>2072</v>
      </c>
      <c r="AJ61" s="30">
        <v>42877.394444444442</v>
      </c>
      <c r="AK61" s="13">
        <v>1497590</v>
      </c>
      <c r="AL61" s="13">
        <v>1497590</v>
      </c>
      <c r="AM61">
        <v>0</v>
      </c>
      <c r="AN61" s="30">
        <v>43009</v>
      </c>
      <c r="AO61" s="21">
        <v>36</v>
      </c>
      <c r="AP61" s="21" t="s">
        <v>2073</v>
      </c>
      <c r="AS61" s="30"/>
      <c r="AT61" t="s">
        <v>943</v>
      </c>
      <c r="AU61" s="21" t="s">
        <v>921</v>
      </c>
      <c r="AV61" s="21">
        <v>10</v>
      </c>
      <c r="AW61" s="21" t="s">
        <v>2521</v>
      </c>
      <c r="AX61" s="30">
        <v>42878</v>
      </c>
      <c r="AY61" s="21" t="s">
        <v>2542</v>
      </c>
      <c r="AZ61" s="21" t="s">
        <v>2523</v>
      </c>
      <c r="BA61" s="21">
        <v>12</v>
      </c>
      <c r="BG61" s="30"/>
      <c r="BP61" s="30"/>
      <c r="BU61" t="s">
        <v>1073</v>
      </c>
      <c r="BV61" s="21" t="s">
        <v>1074</v>
      </c>
      <c r="BW61" s="21" t="s">
        <v>2070</v>
      </c>
      <c r="BX61" s="21" t="s">
        <v>2071</v>
      </c>
      <c r="BY61" s="31">
        <v>1195362</v>
      </c>
      <c r="BZ61" s="31">
        <v>1195362</v>
      </c>
      <c r="CA61" t="s">
        <v>1968</v>
      </c>
      <c r="CB61" s="21" t="s">
        <v>2075</v>
      </c>
      <c r="CC61" s="21" t="s">
        <v>2076</v>
      </c>
      <c r="CD61" s="21" t="s">
        <v>2077</v>
      </c>
      <c r="CE61" s="21" t="s">
        <v>2078</v>
      </c>
      <c r="CF61" s="31">
        <v>302228</v>
      </c>
      <c r="CG61" s="31">
        <v>302228</v>
      </c>
      <c r="CH61" t="s">
        <v>1968</v>
      </c>
      <c r="CM61" s="31"/>
      <c r="CN61" s="31"/>
      <c r="CT61" s="31"/>
      <c r="CU61" s="31"/>
      <c r="CV61" s="31"/>
      <c r="DA61" s="31"/>
      <c r="DB61" s="31"/>
      <c r="DC61" s="31"/>
      <c r="DH61" s="31"/>
      <c r="DI61" s="31"/>
      <c r="DO61" s="31"/>
      <c r="DP61" s="31"/>
      <c r="DR61" t="s">
        <v>2519</v>
      </c>
      <c r="DS61" t="s">
        <v>837</v>
      </c>
      <c r="DT61" t="s">
        <v>902</v>
      </c>
      <c r="DU61" s="29" t="s">
        <v>2524</v>
      </c>
      <c r="DV61" t="s">
        <v>1971</v>
      </c>
      <c r="DW61" t="s">
        <v>366</v>
      </c>
      <c r="DX61" t="s">
        <v>171</v>
      </c>
      <c r="DY61" t="s">
        <v>168</v>
      </c>
      <c r="DZ61" t="s">
        <v>169</v>
      </c>
      <c r="EA61" s="22">
        <v>43077.177256944444</v>
      </c>
      <c r="EB61" t="s">
        <v>2074</v>
      </c>
      <c r="EC61" t="s">
        <v>2543</v>
      </c>
    </row>
    <row r="62" spans="1:133">
      <c r="A62" s="30">
        <v>42955.701689814814</v>
      </c>
      <c r="B62" s="22">
        <v>42809.654166666667</v>
      </c>
      <c r="C62" s="22" t="s">
        <v>1965</v>
      </c>
      <c r="D62" s="30" t="s">
        <v>741</v>
      </c>
      <c r="E62" s="30" t="s">
        <v>901</v>
      </c>
      <c r="F62" s="30" t="s">
        <v>170</v>
      </c>
      <c r="G62" s="30" t="s">
        <v>1966</v>
      </c>
      <c r="H62" t="s">
        <v>94</v>
      </c>
      <c r="I62" t="s">
        <v>1967</v>
      </c>
      <c r="J62" t="s">
        <v>942</v>
      </c>
      <c r="K62" s="22">
        <v>42954.395358796297</v>
      </c>
      <c r="L62">
        <v>1</v>
      </c>
      <c r="M62" s="26">
        <v>3.1</v>
      </c>
      <c r="N62" t="s">
        <v>923</v>
      </c>
      <c r="Q62" s="29" t="s">
        <v>13</v>
      </c>
      <c r="R62" s="29" t="str">
        <f>IFERROR(MID(RADataTable[[#This Row],[RAtemplate]],1,LEN(RADataTable[[#This Row],[RAtemplate]])-8),"RA") &amp; " " &amp; RADataTable[[#This Row],[prop_id0]] &amp; " " &amp; RADataTable[[#This Row],[last0]]</f>
        <v>RA 1740805 Mumey</v>
      </c>
      <c r="U62" s="21" t="str">
        <f>IF(signer1="PD",IF(ISBLANK(RADataTable[[#This Row],[sign_blck_name]]),"",RADataTable[[#This Row],[sign_blck_name]]),IF(ISBLANK(signer1),"",signer1))</f>
        <v>Nandini Kannan</v>
      </c>
      <c r="V62" s="29" t="str">
        <f>signer2</f>
        <v>Cognizant Program Director</v>
      </c>
      <c r="W62" s="15" t="str">
        <f>HYPERLINK("https://www.ejacket.nsf.gov/ej/showProposal.do?Continue=Y&amp;ID="&amp;RADataTable[[#This Row],[prop_id0]],"eJ")</f>
        <v>eJ</v>
      </c>
      <c r="X62" s="15" t="str">
        <f>HYPERLINK("mailto:"&amp;RADataTable[[#This Row],[email]]&amp;"&amp;subject=Your NSF Proposal:  "&amp;RADataTable[[#This Row],[Div]]&amp;" "&amp;RADataTable[[#This Row],[prop_id0]], RADataTable[[#This Row],[email]])</f>
        <v>brendan.mumey@montana.edu</v>
      </c>
      <c r="Y62" s="15" t="str">
        <f>HYPERLINK("mailto:"&amp;RADataTable[[#This Row],[allPIemail]]&amp;"&amp;subject=NSF Proposal:  "&amp;RADataTable[[#This Row],[Div]]&amp;" "&amp;RADataTable[[#This Row],[prop_id0]], "PIs@")</f>
        <v>PIs@</v>
      </c>
      <c r="Z62" t="s">
        <v>742</v>
      </c>
      <c r="AA62" t="s">
        <v>1241</v>
      </c>
      <c r="AB62">
        <v>3</v>
      </c>
      <c r="AD62"/>
      <c r="AE62" s="21" t="str">
        <f>IF(RADataTable[[#This Row],[maxScore]]-RADataTable[[#This Row],[minScore]]&gt;4,"Y","")</f>
        <v/>
      </c>
      <c r="AF62" s="21">
        <v>4</v>
      </c>
      <c r="AG62" s="26">
        <v>5.666666666666667</v>
      </c>
      <c r="AH62">
        <v>7</v>
      </c>
      <c r="AI62" t="s">
        <v>2204</v>
      </c>
      <c r="AJ62" s="30">
        <v>42878.374305555553</v>
      </c>
      <c r="AK62" s="13">
        <v>1530999</v>
      </c>
      <c r="AL62" s="13">
        <v>1530172</v>
      </c>
      <c r="AM62">
        <v>1</v>
      </c>
      <c r="AN62" s="30">
        <v>43101</v>
      </c>
      <c r="AO62" s="21">
        <v>36</v>
      </c>
      <c r="AP62" s="21" t="s">
        <v>2205</v>
      </c>
      <c r="AS62" s="30"/>
      <c r="AT62" t="s">
        <v>943</v>
      </c>
      <c r="AU62" s="21" t="s">
        <v>921</v>
      </c>
      <c r="AV62" s="21">
        <v>10</v>
      </c>
      <c r="AW62" s="21" t="s">
        <v>2521</v>
      </c>
      <c r="AX62" s="30">
        <v>42878</v>
      </c>
      <c r="AY62" s="21" t="s">
        <v>2573</v>
      </c>
      <c r="AZ62" s="21" t="s">
        <v>2523</v>
      </c>
      <c r="BA62" s="21">
        <v>12</v>
      </c>
      <c r="BG62" s="30"/>
      <c r="BP62" s="30"/>
      <c r="BU62" t="s">
        <v>1241</v>
      </c>
      <c r="BV62" s="21" t="s">
        <v>1242</v>
      </c>
      <c r="BW62" s="21" t="s">
        <v>2202</v>
      </c>
      <c r="BX62" s="21" t="s">
        <v>2203</v>
      </c>
      <c r="BY62" s="31">
        <v>1530999</v>
      </c>
      <c r="BZ62" s="31">
        <v>1530172</v>
      </c>
      <c r="CA62" t="s">
        <v>1995</v>
      </c>
      <c r="CF62" s="31"/>
      <c r="CG62" s="31"/>
      <c r="CM62" s="31"/>
      <c r="CN62" s="31"/>
      <c r="CT62" s="31"/>
      <c r="CU62" s="31"/>
      <c r="CV62" s="31"/>
      <c r="DA62" s="31"/>
      <c r="DB62" s="31"/>
      <c r="DC62" s="31"/>
      <c r="DH62" s="31"/>
      <c r="DI62" s="31"/>
      <c r="DO62" s="31"/>
      <c r="DP62" s="31"/>
      <c r="DR62" t="s">
        <v>2519</v>
      </c>
      <c r="DS62" t="s">
        <v>837</v>
      </c>
      <c r="DT62" t="s">
        <v>902</v>
      </c>
      <c r="DU62" s="29" t="s">
        <v>2531</v>
      </c>
      <c r="DV62" t="s">
        <v>1971</v>
      </c>
      <c r="DW62" t="s">
        <v>366</v>
      </c>
      <c r="DX62" t="s">
        <v>171</v>
      </c>
      <c r="DY62" t="s">
        <v>168</v>
      </c>
      <c r="DZ62" t="s">
        <v>169</v>
      </c>
      <c r="EA62" s="22">
        <v>43077.177256944444</v>
      </c>
      <c r="EB62" t="s">
        <v>2206</v>
      </c>
      <c r="EC62" t="s">
        <v>2574</v>
      </c>
    </row>
    <row r="63" spans="1:133">
      <c r="A63" s="30">
        <v>42955.657233796293</v>
      </c>
      <c r="B63" s="22">
        <v>42809.661111111112</v>
      </c>
      <c r="C63" s="22" t="s">
        <v>1965</v>
      </c>
      <c r="D63" s="30" t="s">
        <v>741</v>
      </c>
      <c r="E63" s="30" t="s">
        <v>901</v>
      </c>
      <c r="F63" s="30" t="s">
        <v>170</v>
      </c>
      <c r="G63" s="30" t="s">
        <v>1966</v>
      </c>
      <c r="H63" t="s">
        <v>94</v>
      </c>
      <c r="I63" t="s">
        <v>1967</v>
      </c>
      <c r="J63" t="s">
        <v>948</v>
      </c>
      <c r="K63" s="22">
        <v>42955.43986111111</v>
      </c>
      <c r="L63">
        <v>1</v>
      </c>
      <c r="M63" s="26">
        <v>3.1</v>
      </c>
      <c r="N63" t="s">
        <v>923</v>
      </c>
      <c r="Q63" s="29" t="s">
        <v>13</v>
      </c>
      <c r="R63" s="29" t="str">
        <f>IFERROR(MID(RADataTable[[#This Row],[RAtemplate]],1,LEN(RADataTable[[#This Row],[RAtemplate]])-8),"RA") &amp; " " &amp; RADataTable[[#This Row],[prop_id0]] &amp; " " &amp; RADataTable[[#This Row],[last0]]</f>
        <v>RA 1740808 Lerman</v>
      </c>
      <c r="U63" s="21" t="str">
        <f>IF(signer1="PD",IF(ISBLANK(RADataTable[[#This Row],[sign_blck_name]]),"",RADataTable[[#This Row],[sign_blck_name]]),IF(ISBLANK(signer1),"",signer1))</f>
        <v>Christopher W. Stark</v>
      </c>
      <c r="V63" s="29" t="str">
        <f>signer2</f>
        <v>Cognizant Program Director</v>
      </c>
      <c r="W63" s="15" t="str">
        <f>HYPERLINK("https://www.ejacket.nsf.gov/ej/showProposal.do?Continue=Y&amp;ID="&amp;RADataTable[[#This Row],[prop_id0]],"eJ")</f>
        <v>eJ</v>
      </c>
      <c r="X63" s="15" t="str">
        <f>HYPERLINK("mailto:"&amp;RADataTable[[#This Row],[email]]&amp;"&amp;subject=Your NSF Proposal:  "&amp;RADataTable[[#This Row],[Div]]&amp;" "&amp;RADataTable[[#This Row],[prop_id0]], RADataTable[[#This Row],[email]])</f>
        <v>lerman@umn.edu</v>
      </c>
      <c r="Y63" s="15" t="str">
        <f>HYPERLINK("mailto:"&amp;RADataTable[[#This Row],[allPIemail]]&amp;"&amp;subject=NSF Proposal:  "&amp;RADataTable[[#This Row],[Div]]&amp;" "&amp;RADataTable[[#This Row],[prop_id0]], "PIs@")</f>
        <v>PIs@</v>
      </c>
      <c r="Z63" t="s">
        <v>742</v>
      </c>
      <c r="AA63" t="s">
        <v>1256</v>
      </c>
      <c r="AB63">
        <v>3</v>
      </c>
      <c r="AD63"/>
      <c r="AE63" s="21" t="str">
        <f>IF(RADataTable[[#This Row],[maxScore]]-RADataTable[[#This Row],[minScore]]&gt;4,"Y","")</f>
        <v/>
      </c>
      <c r="AF63" s="21">
        <v>6</v>
      </c>
      <c r="AG63" s="26">
        <v>6.333333333333333</v>
      </c>
      <c r="AH63">
        <v>7</v>
      </c>
      <c r="AI63" t="s">
        <v>818</v>
      </c>
      <c r="AJ63" s="30">
        <v>42877.636805555558</v>
      </c>
      <c r="AK63" s="13">
        <v>1500000</v>
      </c>
      <c r="AL63" s="13">
        <v>1500000</v>
      </c>
      <c r="AM63">
        <v>0</v>
      </c>
      <c r="AN63" s="30">
        <v>42979</v>
      </c>
      <c r="AO63" s="21">
        <v>36</v>
      </c>
      <c r="AP63" s="21" t="s">
        <v>2215</v>
      </c>
      <c r="AS63" s="30"/>
      <c r="AT63" t="s">
        <v>943</v>
      </c>
      <c r="AU63" s="21" t="s">
        <v>921</v>
      </c>
      <c r="AV63" s="21">
        <v>10</v>
      </c>
      <c r="AW63" s="21" t="s">
        <v>2521</v>
      </c>
      <c r="AX63" s="30">
        <v>42878</v>
      </c>
      <c r="AY63" s="21" t="s">
        <v>871</v>
      </c>
      <c r="AZ63" s="21" t="s">
        <v>2523</v>
      </c>
      <c r="BA63" s="21">
        <v>12</v>
      </c>
      <c r="BB63" s="21">
        <v>1</v>
      </c>
      <c r="BG63" s="30"/>
      <c r="BP63" s="30"/>
      <c r="BU63" t="s">
        <v>1256</v>
      </c>
      <c r="BV63" s="21" t="s">
        <v>1257</v>
      </c>
      <c r="BW63" s="21" t="s">
        <v>2213</v>
      </c>
      <c r="BX63" s="21" t="s">
        <v>2214</v>
      </c>
      <c r="BY63" s="31">
        <v>1500000</v>
      </c>
      <c r="BZ63" s="31">
        <v>1500000</v>
      </c>
      <c r="CA63" t="s">
        <v>2007</v>
      </c>
      <c r="CF63" s="31"/>
      <c r="CG63" s="31"/>
      <c r="CM63" s="31"/>
      <c r="CN63" s="31"/>
      <c r="CT63" s="31"/>
      <c r="CU63" s="31"/>
      <c r="CV63" s="31"/>
      <c r="DA63" s="31"/>
      <c r="DB63" s="31"/>
      <c r="DC63" s="31"/>
      <c r="DH63" s="31"/>
      <c r="DI63" s="31"/>
      <c r="DO63" s="31"/>
      <c r="DP63" s="31"/>
      <c r="DR63" t="s">
        <v>2519</v>
      </c>
      <c r="DS63" t="s">
        <v>837</v>
      </c>
      <c r="DT63" t="s">
        <v>902</v>
      </c>
      <c r="DU63" s="29" t="s">
        <v>2524</v>
      </c>
      <c r="DV63" t="s">
        <v>1971</v>
      </c>
      <c r="DW63" t="s">
        <v>366</v>
      </c>
      <c r="DX63" t="s">
        <v>171</v>
      </c>
      <c r="DY63" t="s">
        <v>168</v>
      </c>
      <c r="DZ63" t="s">
        <v>169</v>
      </c>
      <c r="EA63" s="22">
        <v>43077.177256944444</v>
      </c>
      <c r="EB63" t="s">
        <v>2216</v>
      </c>
      <c r="EC63" t="s">
        <v>2576</v>
      </c>
    </row>
    <row r="64" spans="1:133">
      <c r="A64" s="30">
        <v>42955.663055555553</v>
      </c>
      <c r="B64" s="22">
        <v>42809.672222222223</v>
      </c>
      <c r="C64" s="22" t="s">
        <v>1965</v>
      </c>
      <c r="D64" s="30" t="s">
        <v>741</v>
      </c>
      <c r="E64" s="30" t="s">
        <v>901</v>
      </c>
      <c r="F64" s="30" t="s">
        <v>170</v>
      </c>
      <c r="G64" s="30" t="s">
        <v>1966</v>
      </c>
      <c r="H64" t="s">
        <v>94</v>
      </c>
      <c r="I64" t="s">
        <v>1967</v>
      </c>
      <c r="J64" t="s">
        <v>948</v>
      </c>
      <c r="K64" s="22">
        <v>42955.521805555552</v>
      </c>
      <c r="L64">
        <v>1</v>
      </c>
      <c r="M64" s="26">
        <v>3.1</v>
      </c>
      <c r="N64" t="s">
        <v>923</v>
      </c>
      <c r="Q64" s="29" t="s">
        <v>13</v>
      </c>
      <c r="R64" s="29" t="str">
        <f>IFERROR(MID(RADataTable[[#This Row],[RAtemplate]],1,LEN(RADataTable[[#This Row],[RAtemplate]])-8),"RA") &amp; " " &amp; RADataTable[[#This Row],[prop_id0]] &amp; " " &amp; RADataTable[[#This Row],[last0]]</f>
        <v>RA 1740816 Hirani</v>
      </c>
      <c r="U64" s="21" t="str">
        <f>IF(signer1="PD",IF(ISBLANK(RADataTable[[#This Row],[sign_blck_name]]),"",RADataTable[[#This Row],[sign_blck_name]]),IF(ISBLANK(signer1),"",signer1))</f>
        <v>Christopher W. Stark</v>
      </c>
      <c r="V64" s="29" t="str">
        <f>signer2</f>
        <v>Cognizant Program Director</v>
      </c>
      <c r="W64" s="15" t="str">
        <f>HYPERLINK("https://www.ejacket.nsf.gov/ej/showProposal.do?Continue=Y&amp;ID="&amp;RADataTable[[#This Row],[prop_id0]],"eJ")</f>
        <v>eJ</v>
      </c>
      <c r="X64" s="15" t="str">
        <f>HYPERLINK("mailto:"&amp;RADataTable[[#This Row],[email]]&amp;"&amp;subject=Your NSF Proposal:  "&amp;RADataTable[[#This Row],[Div]]&amp;" "&amp;RADataTable[[#This Row],[prop_id0]], RADataTable[[#This Row],[email]])</f>
        <v>hirani@illinois.edu</v>
      </c>
      <c r="Y64" s="15" t="str">
        <f>HYPERLINK("mailto:"&amp;RADataTable[[#This Row],[allPIemail]]&amp;"&amp;subject=NSF Proposal:  "&amp;RADataTable[[#This Row],[Div]]&amp;" "&amp;RADataTable[[#This Row],[prop_id0]], "PIs@")</f>
        <v>PIs@</v>
      </c>
      <c r="Z64" t="s">
        <v>742</v>
      </c>
      <c r="AA64" t="s">
        <v>1292</v>
      </c>
      <c r="AB64">
        <v>3</v>
      </c>
      <c r="AD64"/>
      <c r="AE64" s="21" t="str">
        <f>IF(RADataTable[[#This Row],[maxScore]]-RADataTable[[#This Row],[minScore]]&gt;4,"Y","")</f>
        <v>Y</v>
      </c>
      <c r="AF64" s="21">
        <v>1</v>
      </c>
      <c r="AG64" s="26">
        <v>5.333333333333333</v>
      </c>
      <c r="AH64">
        <v>9</v>
      </c>
      <c r="AI64" t="s">
        <v>2240</v>
      </c>
      <c r="AJ64" s="30">
        <v>42877.684027777781</v>
      </c>
      <c r="AK64" s="13">
        <v>1500000</v>
      </c>
      <c r="AL64" s="13">
        <v>1500000</v>
      </c>
      <c r="AM64">
        <v>1</v>
      </c>
      <c r="AN64" s="30">
        <v>42994</v>
      </c>
      <c r="AO64" s="21">
        <v>36</v>
      </c>
      <c r="AP64" s="21" t="s">
        <v>2241</v>
      </c>
      <c r="AS64" s="30"/>
      <c r="AT64" t="s">
        <v>943</v>
      </c>
      <c r="AU64" s="21" t="s">
        <v>921</v>
      </c>
      <c r="AV64" s="21">
        <v>10</v>
      </c>
      <c r="AW64" s="21" t="s">
        <v>2521</v>
      </c>
      <c r="AX64" s="30">
        <v>42878</v>
      </c>
      <c r="AY64" s="21" t="s">
        <v>2585</v>
      </c>
      <c r="AZ64" s="21" t="s">
        <v>2523</v>
      </c>
      <c r="BA64" s="21">
        <v>12</v>
      </c>
      <c r="BG64" s="30"/>
      <c r="BP64" s="30"/>
      <c r="BU64" t="s">
        <v>1292</v>
      </c>
      <c r="BV64" s="21" t="s">
        <v>1293</v>
      </c>
      <c r="BW64" s="21" t="s">
        <v>2239</v>
      </c>
      <c r="BX64" s="21" t="s">
        <v>339</v>
      </c>
      <c r="BY64" s="31">
        <v>1500000</v>
      </c>
      <c r="BZ64" s="31">
        <v>1500000</v>
      </c>
      <c r="CA64" t="s">
        <v>2007</v>
      </c>
      <c r="CF64" s="31"/>
      <c r="CG64" s="31"/>
      <c r="CM64" s="31"/>
      <c r="CN64" s="31"/>
      <c r="CT64" s="31"/>
      <c r="CU64" s="31"/>
      <c r="CV64" s="31"/>
      <c r="DA64" s="31"/>
      <c r="DB64" s="31"/>
      <c r="DC64" s="31"/>
      <c r="DH64" s="31"/>
      <c r="DI64" s="31"/>
      <c r="DO64" s="31"/>
      <c r="DP64" s="31"/>
      <c r="DR64" t="s">
        <v>2519</v>
      </c>
      <c r="DS64" t="s">
        <v>837</v>
      </c>
      <c r="DT64" t="s">
        <v>902</v>
      </c>
      <c r="DU64" s="29" t="s">
        <v>2524</v>
      </c>
      <c r="DV64" t="s">
        <v>1971</v>
      </c>
      <c r="DW64" t="s">
        <v>366</v>
      </c>
      <c r="DX64" t="s">
        <v>171</v>
      </c>
      <c r="DY64" t="s">
        <v>168</v>
      </c>
      <c r="DZ64" t="s">
        <v>169</v>
      </c>
      <c r="EA64" s="22">
        <v>43077.177256944444</v>
      </c>
      <c r="EB64" t="s">
        <v>2242</v>
      </c>
      <c r="EC64" t="s">
        <v>2586</v>
      </c>
    </row>
    <row r="65" spans="1:133">
      <c r="A65" s="30">
        <v>42957.732754629629</v>
      </c>
      <c r="B65" s="22">
        <v>42809.682638888888</v>
      </c>
      <c r="C65" s="22" t="s">
        <v>1965</v>
      </c>
      <c r="D65" s="30" t="s">
        <v>741</v>
      </c>
      <c r="E65" s="30" t="s">
        <v>901</v>
      </c>
      <c r="F65" s="30" t="s">
        <v>170</v>
      </c>
      <c r="G65" s="30" t="s">
        <v>1966</v>
      </c>
      <c r="H65" t="s">
        <v>94</v>
      </c>
      <c r="I65" t="s">
        <v>1967</v>
      </c>
      <c r="J65" t="s">
        <v>948</v>
      </c>
      <c r="K65" s="22">
        <v>42957.365543981483</v>
      </c>
      <c r="L65">
        <v>1</v>
      </c>
      <c r="M65" s="26">
        <v>3.1</v>
      </c>
      <c r="N65" t="s">
        <v>923</v>
      </c>
      <c r="Q65" s="29" t="s">
        <v>13</v>
      </c>
      <c r="R65" s="29" t="str">
        <f>IFERROR(MID(RADataTable[[#This Row],[RAtemplate]],1,LEN(RADataTable[[#This Row],[RAtemplate]])-8),"RA") &amp; " " &amp; RADataTable[[#This Row],[prop_id0]] &amp; " " &amp; RADataTable[[#This Row],[last0]]</f>
        <v>RA 1740821 Vardi</v>
      </c>
      <c r="U65" s="21" t="str">
        <f>IF(signer1="PD",IF(ISBLANK(RADataTable[[#This Row],[sign_blck_name]]),"",RADataTable[[#This Row],[sign_blck_name]]),IF(ISBLANK(signer1),"",signer1))</f>
        <v>Christopher W. Stark</v>
      </c>
      <c r="V65" s="29" t="str">
        <f>signer2</f>
        <v>Cognizant Program Director</v>
      </c>
      <c r="W65" s="15" t="str">
        <f>HYPERLINK("https://www.ejacket.nsf.gov/ej/showProposal.do?Continue=Y&amp;ID="&amp;RADataTable[[#This Row],[prop_id0]],"eJ")</f>
        <v>eJ</v>
      </c>
      <c r="X65" s="15" t="str">
        <f>HYPERLINK("mailto:"&amp;RADataTable[[#This Row],[email]]&amp;"&amp;subject=Your NSF Proposal:  "&amp;RADataTable[[#This Row],[Div]]&amp;" "&amp;RADataTable[[#This Row],[prop_id0]], RADataTable[[#This Row],[email]])</f>
        <v>vardi@rice.edu</v>
      </c>
      <c r="Y65" s="15" t="str">
        <f>HYPERLINK("mailto:"&amp;RADataTable[[#This Row],[allPIemail]]&amp;"&amp;subject=NSF Proposal:  "&amp;RADataTable[[#This Row],[Div]]&amp;" "&amp;RADataTable[[#This Row],[prop_id0]], "PIs@")</f>
        <v>PIs@</v>
      </c>
      <c r="Z65" t="s">
        <v>742</v>
      </c>
      <c r="AA65" t="s">
        <v>1307</v>
      </c>
      <c r="AB65">
        <v>3</v>
      </c>
      <c r="AD65"/>
      <c r="AE65" s="21" t="str">
        <f>IF(RADataTable[[#This Row],[maxScore]]-RADataTable[[#This Row],[minScore]]&gt;4,"Y","")</f>
        <v/>
      </c>
      <c r="AF65" s="21">
        <v>5</v>
      </c>
      <c r="AG65" s="26">
        <v>5.666666666666667</v>
      </c>
      <c r="AH65">
        <v>7</v>
      </c>
      <c r="AI65" t="s">
        <v>2248</v>
      </c>
      <c r="AJ65" s="30">
        <v>42878.472222222219</v>
      </c>
      <c r="AK65" s="13">
        <v>1500000</v>
      </c>
      <c r="AL65" s="13">
        <v>1500000</v>
      </c>
      <c r="AM65">
        <v>0</v>
      </c>
      <c r="AN65" s="30">
        <v>43009</v>
      </c>
      <c r="AO65" s="21">
        <v>36</v>
      </c>
      <c r="AP65" s="21" t="s">
        <v>2249</v>
      </c>
      <c r="AS65" s="30"/>
      <c r="AT65" t="s">
        <v>943</v>
      </c>
      <c r="AU65" s="21" t="s">
        <v>921</v>
      </c>
      <c r="AV65" s="21">
        <v>10</v>
      </c>
      <c r="AW65" s="21" t="s">
        <v>2521</v>
      </c>
      <c r="AX65" s="30">
        <v>42878</v>
      </c>
      <c r="AY65" s="21" t="s">
        <v>2588</v>
      </c>
      <c r="AZ65" s="21" t="s">
        <v>2523</v>
      </c>
      <c r="BA65" s="21">
        <v>12</v>
      </c>
      <c r="BG65" s="30"/>
      <c r="BP65" s="30"/>
      <c r="BU65" t="s">
        <v>1307</v>
      </c>
      <c r="BV65" s="21" t="s">
        <v>1308</v>
      </c>
      <c r="BW65" s="21" t="s">
        <v>2246</v>
      </c>
      <c r="BX65" s="21" t="s">
        <v>2247</v>
      </c>
      <c r="BY65" s="31">
        <v>600000</v>
      </c>
      <c r="BZ65" s="31">
        <v>600000</v>
      </c>
      <c r="CA65" t="s">
        <v>2007</v>
      </c>
      <c r="CB65" s="21" t="s">
        <v>1311</v>
      </c>
      <c r="CC65" s="21" t="s">
        <v>1310</v>
      </c>
      <c r="CD65" s="21" t="s">
        <v>2251</v>
      </c>
      <c r="CE65" s="21" t="s">
        <v>2252</v>
      </c>
      <c r="CF65" s="31">
        <v>450000</v>
      </c>
      <c r="CG65" s="31">
        <v>450000</v>
      </c>
      <c r="CH65" t="s">
        <v>2007</v>
      </c>
      <c r="CI65" s="21" t="s">
        <v>1314</v>
      </c>
      <c r="CJ65" s="21" t="s">
        <v>1313</v>
      </c>
      <c r="CK65" s="21" t="s">
        <v>2254</v>
      </c>
      <c r="CL65" s="21" t="s">
        <v>799</v>
      </c>
      <c r="CM65" s="31">
        <v>450000</v>
      </c>
      <c r="CN65" s="31">
        <v>450000</v>
      </c>
      <c r="CO65" t="s">
        <v>2007</v>
      </c>
      <c r="CT65" s="31"/>
      <c r="CU65" s="31"/>
      <c r="CV65" s="31"/>
      <c r="DA65" s="31"/>
      <c r="DB65" s="31"/>
      <c r="DC65" s="31"/>
      <c r="DH65" s="31"/>
      <c r="DI65" s="31"/>
      <c r="DO65" s="31"/>
      <c r="DP65" s="31"/>
      <c r="DR65" t="s">
        <v>2519</v>
      </c>
      <c r="DS65" t="s">
        <v>837</v>
      </c>
      <c r="DT65" t="s">
        <v>902</v>
      </c>
      <c r="DU65" s="29" t="s">
        <v>2524</v>
      </c>
      <c r="DV65" t="s">
        <v>1971</v>
      </c>
      <c r="DW65" t="s">
        <v>366</v>
      </c>
      <c r="DX65" t="s">
        <v>171</v>
      </c>
      <c r="DY65" t="s">
        <v>168</v>
      </c>
      <c r="DZ65" t="s">
        <v>169</v>
      </c>
      <c r="EA65" s="22">
        <v>43077.177256944444</v>
      </c>
      <c r="EB65" t="s">
        <v>2250</v>
      </c>
      <c r="EC65" t="s">
        <v>2589</v>
      </c>
    </row>
    <row r="66" spans="1:133">
      <c r="A66" s="30">
        <v>42956.382384259261</v>
      </c>
      <c r="B66" s="22">
        <v>42809.695833333331</v>
      </c>
      <c r="C66" s="22" t="s">
        <v>1965</v>
      </c>
      <c r="D66" s="30" t="s">
        <v>741</v>
      </c>
      <c r="E66" s="30" t="s">
        <v>901</v>
      </c>
      <c r="F66" s="30" t="s">
        <v>170</v>
      </c>
      <c r="G66" s="30" t="s">
        <v>1966</v>
      </c>
      <c r="H66" t="s">
        <v>94</v>
      </c>
      <c r="I66" t="s">
        <v>1967</v>
      </c>
      <c r="J66" t="s">
        <v>543</v>
      </c>
      <c r="K66" s="22">
        <v>42951.621724537035</v>
      </c>
      <c r="L66">
        <v>1</v>
      </c>
      <c r="M66" s="26">
        <v>3.1</v>
      </c>
      <c r="N66" t="s">
        <v>923</v>
      </c>
      <c r="Q66" s="29" t="s">
        <v>13</v>
      </c>
      <c r="R66" s="29" t="str">
        <f>IFERROR(MID(RADataTable[[#This Row],[RAtemplate]],1,LEN(RADataTable[[#This Row],[RAtemplate]])-8),"RA") &amp; " " &amp; RADataTable[[#This Row],[prop_id0]] &amp; " " &amp; RADataTable[[#This Row],[last0]]</f>
        <v>RA 1740830 Sampson</v>
      </c>
      <c r="U66" s="21" t="str">
        <f>IF(signer1="PD",IF(ISBLANK(RADataTable[[#This Row],[sign_blck_name]]),"",RADataTable[[#This Row],[sign_blck_name]]),IF(ISBLANK(signer1),"",signer1))</f>
        <v>Tracy J. Kimbrel</v>
      </c>
      <c r="V66" s="29" t="str">
        <f>signer2</f>
        <v>Cognizant Program Director</v>
      </c>
      <c r="W66" s="15" t="str">
        <f>HYPERLINK("https://www.ejacket.nsf.gov/ej/showProposal.do?Continue=Y&amp;ID="&amp;RADataTable[[#This Row],[prop_id0]],"eJ")</f>
        <v>eJ</v>
      </c>
      <c r="X66" s="15" t="str">
        <f>HYPERLINK("mailto:"&amp;RADataTable[[#This Row],[email]]&amp;"&amp;subject=Your NSF Proposal:  "&amp;RADataTable[[#This Row],[Div]]&amp;" "&amp;RADataTable[[#This Row],[prop_id0]], RADataTable[[#This Row],[email]])</f>
        <v>asampson@pitt.edu</v>
      </c>
      <c r="Y66" s="15" t="str">
        <f>HYPERLINK("mailto:"&amp;RADataTable[[#This Row],[allPIemail]]&amp;"&amp;subject=NSF Proposal:  "&amp;RADataTable[[#This Row],[Div]]&amp;" "&amp;RADataTable[[#This Row],[prop_id0]], "PIs@")</f>
        <v>PIs@</v>
      </c>
      <c r="Z66" t="s">
        <v>742</v>
      </c>
      <c r="AA66" t="s">
        <v>1355</v>
      </c>
      <c r="AB66">
        <v>3</v>
      </c>
      <c r="AD66"/>
      <c r="AE66" s="21" t="str">
        <f>IF(RADataTable[[#This Row],[maxScore]]-RADataTable[[#This Row],[minScore]]&gt;4,"Y","")</f>
        <v>Y</v>
      </c>
      <c r="AF66" s="21">
        <v>3</v>
      </c>
      <c r="AG66" s="26">
        <v>5.666666666666667</v>
      </c>
      <c r="AH66">
        <v>9</v>
      </c>
      <c r="AI66" t="s">
        <v>2272</v>
      </c>
      <c r="AJ66" s="30">
        <v>42877.04791666667</v>
      </c>
      <c r="AK66" s="13">
        <v>1412316</v>
      </c>
      <c r="AL66" s="13">
        <v>1412316</v>
      </c>
      <c r="AM66">
        <v>0</v>
      </c>
      <c r="AN66" s="30">
        <v>42979</v>
      </c>
      <c r="AO66" s="21">
        <v>36</v>
      </c>
      <c r="AP66" s="21" t="s">
        <v>2273</v>
      </c>
      <c r="AS66" s="30"/>
      <c r="AT66" t="s">
        <v>943</v>
      </c>
      <c r="AU66" s="21" t="s">
        <v>921</v>
      </c>
      <c r="AV66" s="21">
        <v>10</v>
      </c>
      <c r="AW66" s="21" t="s">
        <v>2521</v>
      </c>
      <c r="AX66" s="30">
        <v>42878</v>
      </c>
      <c r="AY66" s="21" t="s">
        <v>2595</v>
      </c>
      <c r="AZ66" s="21" t="s">
        <v>2523</v>
      </c>
      <c r="BA66" s="21">
        <v>12</v>
      </c>
      <c r="BG66" s="30"/>
      <c r="BP66" s="30"/>
      <c r="BU66" t="s">
        <v>1355</v>
      </c>
      <c r="BV66" s="21" t="s">
        <v>1356</v>
      </c>
      <c r="BW66" s="21" t="s">
        <v>2270</v>
      </c>
      <c r="BX66" s="21" t="s">
        <v>2271</v>
      </c>
      <c r="BY66" s="31">
        <v>1412316</v>
      </c>
      <c r="BZ66" s="31">
        <v>1412316</v>
      </c>
      <c r="CA66" t="s">
        <v>1968</v>
      </c>
      <c r="CF66" s="31"/>
      <c r="CG66" s="31"/>
      <c r="CM66" s="31"/>
      <c r="CN66" s="31"/>
      <c r="CT66" s="31"/>
      <c r="CU66" s="31"/>
      <c r="CV66" s="31"/>
      <c r="DA66" s="31"/>
      <c r="DB66" s="31"/>
      <c r="DC66" s="31"/>
      <c r="DH66" s="31"/>
      <c r="DI66" s="31"/>
      <c r="DO66" s="31"/>
      <c r="DP66" s="31"/>
      <c r="DR66" t="s">
        <v>2519</v>
      </c>
      <c r="DS66" t="s">
        <v>837</v>
      </c>
      <c r="DT66" t="s">
        <v>902</v>
      </c>
      <c r="DU66" s="29" t="s">
        <v>850</v>
      </c>
      <c r="DV66" t="s">
        <v>1971</v>
      </c>
      <c r="DW66" t="s">
        <v>366</v>
      </c>
      <c r="DX66" t="s">
        <v>171</v>
      </c>
      <c r="DY66" t="s">
        <v>168</v>
      </c>
      <c r="DZ66" t="s">
        <v>169</v>
      </c>
      <c r="EA66" s="22">
        <v>43077.177256944444</v>
      </c>
      <c r="EB66" t="s">
        <v>2274</v>
      </c>
      <c r="EC66" t="s">
        <v>2596</v>
      </c>
    </row>
    <row r="67" spans="1:133">
      <c r="A67" s="30">
        <v>42955.68005787037</v>
      </c>
      <c r="B67" s="22">
        <v>42809.708333333336</v>
      </c>
      <c r="C67" s="22" t="s">
        <v>1965</v>
      </c>
      <c r="D67" s="30" t="s">
        <v>741</v>
      </c>
      <c r="E67" s="30" t="s">
        <v>901</v>
      </c>
      <c r="F67" s="30" t="s">
        <v>170</v>
      </c>
      <c r="G67" s="30" t="s">
        <v>1966</v>
      </c>
      <c r="H67" t="s">
        <v>94</v>
      </c>
      <c r="I67" t="s">
        <v>1967</v>
      </c>
      <c r="J67" t="s">
        <v>948</v>
      </c>
      <c r="K67" s="22">
        <v>42955.570798611108</v>
      </c>
      <c r="L67">
        <v>1</v>
      </c>
      <c r="M67" s="26">
        <v>3.1</v>
      </c>
      <c r="N67" t="s">
        <v>923</v>
      </c>
      <c r="Q67" s="29" t="s">
        <v>13</v>
      </c>
      <c r="R67" s="29" t="str">
        <f>IFERROR(MID(RADataTable[[#This Row],[RAtemplate]],1,LEN(RADataTable[[#This Row],[RAtemplate]])-8),"RA") &amp; " " &amp; RADataTable[[#This Row],[prop_id0]] &amp; " " &amp; RADataTable[[#This Row],[last0]]</f>
        <v>RA 1740836 Berger-Wolf</v>
      </c>
      <c r="U67" s="21" t="str">
        <f>IF(signer1="PD",IF(ISBLANK(RADataTable[[#This Row],[sign_blck_name]]),"",RADataTable[[#This Row],[sign_blck_name]]),IF(ISBLANK(signer1),"",signer1))</f>
        <v>Christopher W. Stark</v>
      </c>
      <c r="V67" s="29" t="str">
        <f>signer2</f>
        <v>Cognizant Program Director</v>
      </c>
      <c r="W67" s="15" t="str">
        <f>HYPERLINK("https://www.ejacket.nsf.gov/ej/showProposal.do?Continue=Y&amp;ID="&amp;RADataTable[[#This Row],[prop_id0]],"eJ")</f>
        <v>eJ</v>
      </c>
      <c r="X67" s="15" t="str">
        <f>HYPERLINK("mailto:"&amp;RADataTable[[#This Row],[email]]&amp;"&amp;subject=Your NSF Proposal:  "&amp;RADataTable[[#This Row],[Div]]&amp;" "&amp;RADataTable[[#This Row],[prop_id0]], RADataTable[[#This Row],[email]])</f>
        <v>tanyabw@uic.edu</v>
      </c>
      <c r="Y67" s="15" t="str">
        <f>HYPERLINK("mailto:"&amp;RADataTable[[#This Row],[allPIemail]]&amp;"&amp;subject=NSF Proposal:  "&amp;RADataTable[[#This Row],[Div]]&amp;" "&amp;RADataTable[[#This Row],[prop_id0]], "PIs@")</f>
        <v>PIs@</v>
      </c>
      <c r="Z67" t="s">
        <v>742</v>
      </c>
      <c r="AA67" t="s">
        <v>1395</v>
      </c>
      <c r="AB67">
        <v>3</v>
      </c>
      <c r="AD67"/>
      <c r="AE67" s="21" t="str">
        <f>IF(RADataTable[[#This Row],[maxScore]]-RADataTable[[#This Row],[minScore]]&gt;4,"Y","")</f>
        <v/>
      </c>
      <c r="AF67" s="21">
        <v>3</v>
      </c>
      <c r="AG67" s="26">
        <v>4.333333333333333</v>
      </c>
      <c r="AH67">
        <v>5</v>
      </c>
      <c r="AI67" t="s">
        <v>1984</v>
      </c>
      <c r="AJ67" s="30">
        <v>42876.959027777775</v>
      </c>
      <c r="AK67" s="13">
        <v>1500000</v>
      </c>
      <c r="AL67" s="13">
        <v>1500000</v>
      </c>
      <c r="AM67">
        <v>1</v>
      </c>
      <c r="AN67" s="30">
        <v>43236</v>
      </c>
      <c r="AO67" s="21">
        <v>36</v>
      </c>
      <c r="AP67" s="21" t="s">
        <v>2292</v>
      </c>
      <c r="AS67" s="30"/>
      <c r="AT67" t="s">
        <v>943</v>
      </c>
      <c r="AU67" s="21" t="s">
        <v>921</v>
      </c>
      <c r="AV67" s="21">
        <v>10</v>
      </c>
      <c r="AW67" s="21" t="s">
        <v>2521</v>
      </c>
      <c r="AX67" s="30">
        <v>42878</v>
      </c>
      <c r="AY67" s="21" t="s">
        <v>2526</v>
      </c>
      <c r="AZ67" s="21" t="s">
        <v>2523</v>
      </c>
      <c r="BA67" s="21">
        <v>12</v>
      </c>
      <c r="BB67" s="21">
        <v>1</v>
      </c>
      <c r="BG67" s="30"/>
      <c r="BP67" s="30"/>
      <c r="BU67" t="s">
        <v>1395</v>
      </c>
      <c r="BV67" s="21" t="s">
        <v>1396</v>
      </c>
      <c r="BW67" s="21" t="s">
        <v>2290</v>
      </c>
      <c r="BX67" s="21" t="s">
        <v>2291</v>
      </c>
      <c r="BY67" s="31">
        <v>1500000</v>
      </c>
      <c r="BZ67" s="31">
        <v>1500000</v>
      </c>
      <c r="CA67" t="s">
        <v>2007</v>
      </c>
      <c r="CF67" s="31"/>
      <c r="CG67" s="31"/>
      <c r="CM67" s="31"/>
      <c r="CN67" s="31"/>
      <c r="CT67" s="31"/>
      <c r="CU67" s="31"/>
      <c r="CV67" s="31"/>
      <c r="DA67" s="31"/>
      <c r="DB67" s="31"/>
      <c r="DC67" s="31"/>
      <c r="DH67" s="31"/>
      <c r="DI67" s="31"/>
      <c r="DO67" s="31"/>
      <c r="DP67" s="31"/>
      <c r="DR67" t="s">
        <v>2519</v>
      </c>
      <c r="DS67" t="s">
        <v>837</v>
      </c>
      <c r="DT67" t="s">
        <v>902</v>
      </c>
      <c r="DU67" s="29" t="s">
        <v>2524</v>
      </c>
      <c r="DV67" t="s">
        <v>1971</v>
      </c>
      <c r="DW67" t="s">
        <v>366</v>
      </c>
      <c r="DX67" t="s">
        <v>171</v>
      </c>
      <c r="DY67" t="s">
        <v>168</v>
      </c>
      <c r="DZ67" t="s">
        <v>169</v>
      </c>
      <c r="EA67" s="22">
        <v>43077.177256944444</v>
      </c>
      <c r="EB67" t="s">
        <v>2293</v>
      </c>
      <c r="EC67" t="s">
        <v>2603</v>
      </c>
    </row>
    <row r="68" spans="1:133">
      <c r="A68" s="30">
        <v>42955.720914351848</v>
      </c>
      <c r="B68" s="22">
        <v>42809.763888888891</v>
      </c>
      <c r="C68" s="22" t="s">
        <v>1965</v>
      </c>
      <c r="D68" s="30" t="s">
        <v>741</v>
      </c>
      <c r="E68" s="30" t="s">
        <v>901</v>
      </c>
      <c r="F68" s="30" t="s">
        <v>170</v>
      </c>
      <c r="G68" s="30" t="s">
        <v>1966</v>
      </c>
      <c r="H68" t="s">
        <v>94</v>
      </c>
      <c r="I68" t="s">
        <v>1967</v>
      </c>
      <c r="J68" t="s">
        <v>942</v>
      </c>
      <c r="K68" s="22">
        <v>42954.401226851849</v>
      </c>
      <c r="L68">
        <v>1</v>
      </c>
      <c r="M68" s="26">
        <v>3.1</v>
      </c>
      <c r="N68" t="s">
        <v>923</v>
      </c>
      <c r="Q68" s="29" t="s">
        <v>13</v>
      </c>
      <c r="R68" s="29" t="str">
        <f>IFERROR(MID(RADataTable[[#This Row],[RAtemplate]],1,LEN(RADataTable[[#This Row],[RAtemplate]])-8),"RA") &amp; " " &amp; RADataTable[[#This Row],[prop_id0]] &amp; " " &amp; RADataTable[[#This Row],[last0]]</f>
        <v>RA 1740851 Baldi</v>
      </c>
      <c r="U68" s="21" t="str">
        <f>IF(signer1="PD",IF(ISBLANK(RADataTable[[#This Row],[sign_blck_name]]),"",RADataTable[[#This Row],[sign_blck_name]]),IF(ISBLANK(signer1),"",signer1))</f>
        <v>Nandini Kannan</v>
      </c>
      <c r="V68" s="29" t="str">
        <f>signer2</f>
        <v>Cognizant Program Director</v>
      </c>
      <c r="W68" s="15" t="str">
        <f>HYPERLINK("https://www.ejacket.nsf.gov/ej/showProposal.do?Continue=Y&amp;ID="&amp;RADataTable[[#This Row],[prop_id0]],"eJ")</f>
        <v>eJ</v>
      </c>
      <c r="X68" s="15" t="str">
        <f>HYPERLINK("mailto:"&amp;RADataTable[[#This Row],[email]]&amp;"&amp;subject=Your NSF Proposal:  "&amp;RADataTable[[#This Row],[Div]]&amp;" "&amp;RADataTable[[#This Row],[prop_id0]], RADataTable[[#This Row],[email]])</f>
        <v>pfbaldi@ics.uci.edu</v>
      </c>
      <c r="Y68" s="15" t="str">
        <f>HYPERLINK("mailto:"&amp;RADataTable[[#This Row],[allPIemail]]&amp;"&amp;subject=NSF Proposal:  "&amp;RADataTable[[#This Row],[Div]]&amp;" "&amp;RADataTable[[#This Row],[prop_id0]], "PIs@")</f>
        <v>PIs@</v>
      </c>
      <c r="Z68" t="s">
        <v>742</v>
      </c>
      <c r="AA68" t="s">
        <v>1438</v>
      </c>
      <c r="AB68">
        <v>3</v>
      </c>
      <c r="AD68"/>
      <c r="AE68" s="21" t="str">
        <f>IF(RADataTable[[#This Row],[maxScore]]-RADataTable[[#This Row],[minScore]]&gt;4,"Y","")</f>
        <v/>
      </c>
      <c r="AF68" s="21">
        <v>5</v>
      </c>
      <c r="AG68" s="26">
        <v>5</v>
      </c>
      <c r="AH68">
        <v>5</v>
      </c>
      <c r="AI68" t="s">
        <v>813</v>
      </c>
      <c r="AJ68" s="30">
        <v>42878.292361111111</v>
      </c>
      <c r="AK68" s="13">
        <v>1484557</v>
      </c>
      <c r="AL68" s="13">
        <v>1482592</v>
      </c>
      <c r="AM68">
        <v>1</v>
      </c>
      <c r="AN68" s="30">
        <v>43009</v>
      </c>
      <c r="AO68" s="21">
        <v>36</v>
      </c>
      <c r="AP68" s="21" t="s">
        <v>2316</v>
      </c>
      <c r="AS68" s="30"/>
      <c r="AT68" t="s">
        <v>943</v>
      </c>
      <c r="AU68" s="21" t="s">
        <v>921</v>
      </c>
      <c r="AV68" s="21">
        <v>10</v>
      </c>
      <c r="AW68" s="21" t="s">
        <v>2521</v>
      </c>
      <c r="AX68" s="30">
        <v>42878</v>
      </c>
      <c r="AY68" s="21" t="s">
        <v>868</v>
      </c>
      <c r="AZ68" s="21" t="s">
        <v>2523</v>
      </c>
      <c r="BA68" s="21">
        <v>12</v>
      </c>
      <c r="BG68" s="30"/>
      <c r="BP68" s="30"/>
      <c r="BU68" t="s">
        <v>1438</v>
      </c>
      <c r="BV68" s="21" t="s">
        <v>1439</v>
      </c>
      <c r="BW68" s="21" t="s">
        <v>2314</v>
      </c>
      <c r="BX68" s="21" t="s">
        <v>2315</v>
      </c>
      <c r="BY68" s="31">
        <v>1484557</v>
      </c>
      <c r="BZ68" s="31">
        <v>1482592</v>
      </c>
      <c r="CA68" t="s">
        <v>1968</v>
      </c>
      <c r="CF68" s="31"/>
      <c r="CG68" s="31"/>
      <c r="CM68" s="31"/>
      <c r="CN68" s="31"/>
      <c r="CT68" s="31"/>
      <c r="CU68" s="31"/>
      <c r="CV68" s="31"/>
      <c r="DA68" s="31"/>
      <c r="DB68" s="31"/>
      <c r="DC68" s="31"/>
      <c r="DH68" s="31"/>
      <c r="DI68" s="31"/>
      <c r="DO68" s="31"/>
      <c r="DP68" s="31"/>
      <c r="DR68" t="s">
        <v>2519</v>
      </c>
      <c r="DS68" t="s">
        <v>837</v>
      </c>
      <c r="DT68" t="s">
        <v>902</v>
      </c>
      <c r="DU68" s="29" t="s">
        <v>2531</v>
      </c>
      <c r="DV68" t="s">
        <v>1971</v>
      </c>
      <c r="DW68" t="s">
        <v>366</v>
      </c>
      <c r="DX68" t="s">
        <v>171</v>
      </c>
      <c r="DY68" t="s">
        <v>168</v>
      </c>
      <c r="DZ68" t="s">
        <v>169</v>
      </c>
      <c r="EA68" s="22">
        <v>43077.177256944444</v>
      </c>
      <c r="EB68" t="s">
        <v>2317</v>
      </c>
      <c r="EC68" t="s">
        <v>2610</v>
      </c>
    </row>
    <row r="69" spans="1:133">
      <c r="A69" s="30">
        <v>42954.663657407407</v>
      </c>
      <c r="B69" s="22">
        <v>42807.46597222222</v>
      </c>
      <c r="C69" s="22" t="s">
        <v>1965</v>
      </c>
      <c r="D69" s="30" t="s">
        <v>741</v>
      </c>
      <c r="E69" s="30" t="s">
        <v>901</v>
      </c>
      <c r="F69" s="30" t="s">
        <v>170</v>
      </c>
      <c r="G69" s="30" t="s">
        <v>1966</v>
      </c>
      <c r="H69" t="s">
        <v>94</v>
      </c>
      <c r="I69" t="s">
        <v>1967</v>
      </c>
      <c r="J69" t="s">
        <v>543</v>
      </c>
      <c r="K69" s="22">
        <v>42951.478125000001</v>
      </c>
      <c r="L69">
        <v>1</v>
      </c>
      <c r="M69" s="26">
        <v>3.11</v>
      </c>
      <c r="N69" t="s">
        <v>923</v>
      </c>
      <c r="Q69" s="29" t="s">
        <v>13</v>
      </c>
      <c r="R69" s="29" t="str">
        <f>IFERROR(MID(RADataTable[[#This Row],[RAtemplate]],1,LEN(RADataTable[[#This Row],[RAtemplate]])-8),"RA") &amp; " " &amp; RADataTable[[#This Row],[prop_id0]] &amp; " " &amp; RADataTable[[#This Row],[last0]]</f>
        <v>RA 1740547 Shub</v>
      </c>
      <c r="U69" s="21" t="str">
        <f>IF(signer1="PD",IF(ISBLANK(RADataTable[[#This Row],[sign_blck_name]]),"",RADataTable[[#This Row],[sign_blck_name]]),IF(ISBLANK(signer1),"",signer1))</f>
        <v>Tracy J. Kimbrel</v>
      </c>
      <c r="V69" s="29" t="str">
        <f>signer2</f>
        <v>Cognizant Program Director</v>
      </c>
      <c r="W69" s="15" t="str">
        <f>HYPERLINK("https://www.ejacket.nsf.gov/ej/showProposal.do?Continue=Y&amp;ID="&amp;RADataTable[[#This Row],[prop_id0]],"eJ")</f>
        <v>eJ</v>
      </c>
      <c r="X69" s="15" t="str">
        <f>HYPERLINK("mailto:"&amp;RADataTable[[#This Row],[email]]&amp;"&amp;subject=Your NSF Proposal:  "&amp;RADataTable[[#This Row],[Div]]&amp;" "&amp;RADataTable[[#This Row],[prop_id0]], RADataTable[[#This Row],[email]])</f>
        <v>mshub@ccny.cuny.edu</v>
      </c>
      <c r="Y69" s="15" t="str">
        <f>HYPERLINK("mailto:"&amp;RADataTable[[#This Row],[allPIemail]]&amp;"&amp;subject=NSF Proposal:  "&amp;RADataTable[[#This Row],[Div]]&amp;" "&amp;RADataTable[[#This Row],[prop_id0]], "PIs@")</f>
        <v>PIs@</v>
      </c>
      <c r="Z69" t="s">
        <v>742</v>
      </c>
      <c r="AA69" t="s">
        <v>917</v>
      </c>
      <c r="AB69">
        <v>3</v>
      </c>
      <c r="AD69"/>
      <c r="AE69" s="21" t="str">
        <f>IF(RADataTable[[#This Row],[maxScore]]-RADataTable[[#This Row],[minScore]]&gt;4,"Y","")</f>
        <v/>
      </c>
      <c r="AF69" s="21">
        <v>5</v>
      </c>
      <c r="AG69" s="26">
        <v>5</v>
      </c>
      <c r="AH69">
        <v>5</v>
      </c>
      <c r="AI69" t="s">
        <v>813</v>
      </c>
      <c r="AJ69" s="30">
        <v>42872.504861111112</v>
      </c>
      <c r="AK69" s="13">
        <v>1485814</v>
      </c>
      <c r="AL69" s="13">
        <v>1485814</v>
      </c>
      <c r="AM69">
        <v>0</v>
      </c>
      <c r="AN69" s="30">
        <v>42972</v>
      </c>
      <c r="AO69" s="21">
        <v>36</v>
      </c>
      <c r="AP69" s="21" t="s">
        <v>1972</v>
      </c>
      <c r="AS69" s="30"/>
      <c r="AT69" t="s">
        <v>919</v>
      </c>
      <c r="AU69" s="21" t="s">
        <v>921</v>
      </c>
      <c r="AV69" s="21">
        <v>11</v>
      </c>
      <c r="AW69" s="21" t="s">
        <v>2517</v>
      </c>
      <c r="AX69" s="30">
        <v>42872</v>
      </c>
      <c r="AY69" s="21" t="s">
        <v>868</v>
      </c>
      <c r="AZ69" s="21" t="s">
        <v>2518</v>
      </c>
      <c r="BA69" s="21">
        <v>12</v>
      </c>
      <c r="BG69" s="30"/>
      <c r="BP69" s="30"/>
      <c r="BU69" t="s">
        <v>917</v>
      </c>
      <c r="BV69" s="21" t="s">
        <v>918</v>
      </c>
      <c r="BW69" s="21" t="s">
        <v>1969</v>
      </c>
      <c r="BX69" s="21" t="s">
        <v>1970</v>
      </c>
      <c r="BY69" s="31">
        <v>1485814</v>
      </c>
      <c r="BZ69" s="31">
        <v>1485814</v>
      </c>
      <c r="CA69" t="s">
        <v>1968</v>
      </c>
      <c r="CF69" s="31"/>
      <c r="CG69" s="31"/>
      <c r="CM69" s="31"/>
      <c r="CN69" s="31"/>
      <c r="CT69" s="31"/>
      <c r="CU69" s="31"/>
      <c r="CV69" s="31"/>
      <c r="DA69" s="31"/>
      <c r="DB69" s="31"/>
      <c r="DC69" s="31"/>
      <c r="DH69" s="31"/>
      <c r="DI69" s="31"/>
      <c r="DO69" s="31"/>
      <c r="DP69" s="31"/>
      <c r="DR69" t="s">
        <v>2519</v>
      </c>
      <c r="DS69" t="s">
        <v>837</v>
      </c>
      <c r="DT69" t="s">
        <v>902</v>
      </c>
      <c r="DU69" s="29" t="s">
        <v>850</v>
      </c>
      <c r="DV69" t="s">
        <v>1971</v>
      </c>
      <c r="DW69" t="s">
        <v>366</v>
      </c>
      <c r="DX69" t="s">
        <v>171</v>
      </c>
      <c r="DY69" t="s">
        <v>168</v>
      </c>
      <c r="DZ69" t="s">
        <v>169</v>
      </c>
      <c r="EA69" s="22">
        <v>43077.177256944444</v>
      </c>
      <c r="EB69" t="s">
        <v>1973</v>
      </c>
      <c r="EC69" t="s">
        <v>2520</v>
      </c>
    </row>
    <row r="70" spans="1:133">
      <c r="A70" s="30">
        <v>42954.665173611109</v>
      </c>
      <c r="B70" s="22">
        <v>42809.573611111111</v>
      </c>
      <c r="C70" s="22" t="s">
        <v>1965</v>
      </c>
      <c r="D70" s="30" t="s">
        <v>741</v>
      </c>
      <c r="E70" s="30" t="s">
        <v>901</v>
      </c>
      <c r="F70" s="30" t="s">
        <v>170</v>
      </c>
      <c r="G70" s="30" t="s">
        <v>1966</v>
      </c>
      <c r="H70" t="s">
        <v>94</v>
      </c>
      <c r="I70" t="s">
        <v>1967</v>
      </c>
      <c r="J70" t="s">
        <v>543</v>
      </c>
      <c r="K70" s="22">
        <v>42951.496446759258</v>
      </c>
      <c r="L70">
        <v>1</v>
      </c>
      <c r="M70" s="26">
        <v>3.11</v>
      </c>
      <c r="N70" t="s">
        <v>923</v>
      </c>
      <c r="Q70" s="29" t="s">
        <v>13</v>
      </c>
      <c r="R70" s="29" t="str">
        <f>IFERROR(MID(RADataTable[[#This Row],[RAtemplate]],1,LEN(RADataTable[[#This Row],[RAtemplate]])-8),"RA") &amp; " " &amp; RADataTable[[#This Row],[prop_id0]] &amp; " " &amp; RADataTable[[#This Row],[last0]]</f>
        <v>RA 1740769 Wasserman</v>
      </c>
      <c r="U70" s="21" t="str">
        <f>IF(signer1="PD",IF(ISBLANK(RADataTable[[#This Row],[sign_blck_name]]),"",RADataTable[[#This Row],[sign_blck_name]]),IF(ISBLANK(signer1),"",signer1))</f>
        <v>Tracy J. Kimbrel</v>
      </c>
      <c r="V70" s="29" t="str">
        <f>signer2</f>
        <v>Cognizant Program Director</v>
      </c>
      <c r="W70" s="15" t="str">
        <f>HYPERLINK("https://www.ejacket.nsf.gov/ej/showProposal.do?Continue=Y&amp;ID="&amp;RADataTable[[#This Row],[prop_id0]],"eJ")</f>
        <v>eJ</v>
      </c>
      <c r="X70" s="15" t="str">
        <f>HYPERLINK("mailto:"&amp;RADataTable[[#This Row],[email]]&amp;"&amp;subject=Your NSF Proposal:  "&amp;RADataTable[[#This Row],[Div]]&amp;" "&amp;RADataTable[[#This Row],[prop_id0]], RADataTable[[#This Row],[email]])</f>
        <v>larry@stat.cmu.edu</v>
      </c>
      <c r="Y70" s="15" t="str">
        <f>HYPERLINK("mailto:"&amp;RADataTable[[#This Row],[allPIemail]]&amp;"&amp;subject=NSF Proposal:  "&amp;RADataTable[[#This Row],[Div]]&amp;" "&amp;RADataTable[[#This Row],[prop_id0]], "PIs@")</f>
        <v>PIs@</v>
      </c>
      <c r="Z70" t="s">
        <v>742</v>
      </c>
      <c r="AA70" t="s">
        <v>1159</v>
      </c>
      <c r="AB70">
        <v>3</v>
      </c>
      <c r="AD70"/>
      <c r="AE70" s="21" t="str">
        <f>IF(RADataTable[[#This Row],[maxScore]]-RADataTable[[#This Row],[minScore]]&gt;4,"Y","")</f>
        <v/>
      </c>
      <c r="AF70" s="21">
        <v>4</v>
      </c>
      <c r="AG70" s="26">
        <v>5.333333333333333</v>
      </c>
      <c r="AH70">
        <v>6</v>
      </c>
      <c r="AI70" t="s">
        <v>2128</v>
      </c>
      <c r="AJ70" s="30">
        <v>42872.477777777778</v>
      </c>
      <c r="AK70" s="13">
        <v>1500000</v>
      </c>
      <c r="AL70" s="13">
        <v>1500000</v>
      </c>
      <c r="AM70">
        <v>0</v>
      </c>
      <c r="AN70" s="30">
        <v>43282</v>
      </c>
      <c r="AO70" s="21">
        <v>36</v>
      </c>
      <c r="AP70" s="21" t="s">
        <v>2129</v>
      </c>
      <c r="AS70" s="30"/>
      <c r="AT70" t="s">
        <v>919</v>
      </c>
      <c r="AU70" s="21" t="s">
        <v>921</v>
      </c>
      <c r="AV70" s="21">
        <v>11</v>
      </c>
      <c r="AW70" s="21" t="s">
        <v>2517</v>
      </c>
      <c r="AX70" s="30">
        <v>42872</v>
      </c>
      <c r="AY70" s="21" t="s">
        <v>2555</v>
      </c>
      <c r="AZ70" s="21" t="s">
        <v>2518</v>
      </c>
      <c r="BA70" s="21">
        <v>12</v>
      </c>
      <c r="BB70" s="21">
        <v>1</v>
      </c>
      <c r="BG70" s="30"/>
      <c r="BP70" s="30"/>
      <c r="BU70" t="s">
        <v>1159</v>
      </c>
      <c r="BV70" s="21" t="s">
        <v>1160</v>
      </c>
      <c r="BW70" s="21" t="s">
        <v>2126</v>
      </c>
      <c r="BX70" s="21" t="s">
        <v>2127</v>
      </c>
      <c r="BY70" s="31">
        <v>1500000</v>
      </c>
      <c r="BZ70" s="31">
        <v>1500000</v>
      </c>
      <c r="CA70" t="s">
        <v>1968</v>
      </c>
      <c r="CF70" s="31"/>
      <c r="CG70" s="31"/>
      <c r="CM70" s="31"/>
      <c r="CN70" s="31"/>
      <c r="CT70" s="31"/>
      <c r="CU70" s="31"/>
      <c r="CV70" s="31"/>
      <c r="DA70" s="31"/>
      <c r="DB70" s="31"/>
      <c r="DC70" s="31"/>
      <c r="DH70" s="31"/>
      <c r="DI70" s="31"/>
      <c r="DO70" s="31"/>
      <c r="DP70" s="31"/>
      <c r="DR70" t="s">
        <v>2519</v>
      </c>
      <c r="DS70" t="s">
        <v>837</v>
      </c>
      <c r="DT70" t="s">
        <v>902</v>
      </c>
      <c r="DU70" s="29" t="s">
        <v>850</v>
      </c>
      <c r="DV70" t="s">
        <v>1971</v>
      </c>
      <c r="DW70" t="s">
        <v>366</v>
      </c>
      <c r="DX70" t="s">
        <v>171</v>
      </c>
      <c r="DY70" t="s">
        <v>168</v>
      </c>
      <c r="DZ70" t="s">
        <v>169</v>
      </c>
      <c r="EA70" s="22">
        <v>43077.177256944444</v>
      </c>
      <c r="EB70" t="s">
        <v>2130</v>
      </c>
      <c r="EC70" t="s">
        <v>2556</v>
      </c>
    </row>
    <row r="71" spans="1:133">
      <c r="A71" s="30">
        <v>42955.696875000001</v>
      </c>
      <c r="B71" s="22">
        <v>42809.598611111112</v>
      </c>
      <c r="C71" s="22" t="s">
        <v>1965</v>
      </c>
      <c r="D71" s="30" t="s">
        <v>741</v>
      </c>
      <c r="E71" s="30" t="s">
        <v>901</v>
      </c>
      <c r="F71" s="30" t="s">
        <v>170</v>
      </c>
      <c r="G71" s="30" t="s">
        <v>1966</v>
      </c>
      <c r="H71" t="s">
        <v>94</v>
      </c>
      <c r="I71" t="s">
        <v>1967</v>
      </c>
      <c r="J71" t="s">
        <v>540</v>
      </c>
      <c r="K71" s="22">
        <v>42914.638993055552</v>
      </c>
      <c r="L71">
        <v>1</v>
      </c>
      <c r="M71" s="26">
        <v>3.11</v>
      </c>
      <c r="N71" t="s">
        <v>923</v>
      </c>
      <c r="Q71" s="29" t="s">
        <v>13</v>
      </c>
      <c r="R71" s="29" t="str">
        <f>IFERROR(MID(RADataTable[[#This Row],[RAtemplate]],1,LEN(RADataTable[[#This Row],[RAtemplate]])-8),"RA") &amp; " " &amp; RADataTable[[#This Row],[prop_id0]] &amp; " " &amp; RADataTable[[#This Row],[last0]]</f>
        <v>RA 1740780 Michailidis</v>
      </c>
      <c r="U71" s="21" t="str">
        <f>IF(signer1="PD",IF(ISBLANK(RADataTable[[#This Row],[sign_blck_name]]),"",RADataTable[[#This Row],[sign_blck_name]]),IF(ISBLANK(signer1),"",signer1))</f>
        <v>Jack Snoeyink</v>
      </c>
      <c r="V71" s="29" t="str">
        <f>signer2</f>
        <v>Cognizant Program Director</v>
      </c>
      <c r="W71" s="15" t="str">
        <f>HYPERLINK("https://www.ejacket.nsf.gov/ej/showProposal.do?Continue=Y&amp;ID="&amp;RADataTable[[#This Row],[prop_id0]],"eJ")</f>
        <v>eJ</v>
      </c>
      <c r="X71" s="15" t="str">
        <f>HYPERLINK("mailto:"&amp;RADataTable[[#This Row],[email]]&amp;"&amp;subject=Your NSF Proposal:  "&amp;RADataTable[[#This Row],[Div]]&amp;" "&amp;RADataTable[[#This Row],[prop_id0]], RADataTable[[#This Row],[email]])</f>
        <v>gmichail@ufl.edu</v>
      </c>
      <c r="Y71" s="15" t="str">
        <f>HYPERLINK("mailto:"&amp;RADataTable[[#This Row],[allPIemail]]&amp;"&amp;subject=NSF Proposal:  "&amp;RADataTable[[#This Row],[Div]]&amp;" "&amp;RADataTable[[#This Row],[prop_id0]], "PIs@")</f>
        <v>PIs@</v>
      </c>
      <c r="Z71" t="s">
        <v>742</v>
      </c>
      <c r="AA71" t="s">
        <v>1182</v>
      </c>
      <c r="AB71">
        <v>3</v>
      </c>
      <c r="AD71"/>
      <c r="AE71" s="21" t="str">
        <f>IF(RADataTable[[#This Row],[maxScore]]-RADataTable[[#This Row],[minScore]]&gt;4,"Y","")</f>
        <v/>
      </c>
      <c r="AF71" s="21">
        <v>6</v>
      </c>
      <c r="AG71" s="26">
        <v>6</v>
      </c>
      <c r="AH71">
        <v>6</v>
      </c>
      <c r="AI71" t="s">
        <v>2164</v>
      </c>
      <c r="AJ71" s="30">
        <v>42872.45</v>
      </c>
      <c r="AK71" s="13">
        <v>1500000</v>
      </c>
      <c r="AL71" s="13">
        <v>1500000</v>
      </c>
      <c r="AM71">
        <v>0</v>
      </c>
      <c r="AN71" s="30">
        <v>42948</v>
      </c>
      <c r="AO71" s="21">
        <v>36</v>
      </c>
      <c r="AP71" s="21" t="s">
        <v>2165</v>
      </c>
      <c r="AS71" s="30"/>
      <c r="AT71" t="s">
        <v>919</v>
      </c>
      <c r="AU71" s="21" t="s">
        <v>921</v>
      </c>
      <c r="AV71" s="21">
        <v>11</v>
      </c>
      <c r="AW71" s="21" t="s">
        <v>2517</v>
      </c>
      <c r="AX71" s="30">
        <v>42872</v>
      </c>
      <c r="AY71" s="21" t="s">
        <v>2560</v>
      </c>
      <c r="AZ71" s="21" t="s">
        <v>2518</v>
      </c>
      <c r="BA71" s="21">
        <v>12</v>
      </c>
      <c r="BG71" s="30"/>
      <c r="BP71" s="30"/>
      <c r="BU71" t="s">
        <v>1182</v>
      </c>
      <c r="BV71" s="21" t="s">
        <v>1183</v>
      </c>
      <c r="BW71" s="21" t="s">
        <v>2162</v>
      </c>
      <c r="BX71" s="21" t="s">
        <v>2163</v>
      </c>
      <c r="BY71" s="31">
        <v>1500000</v>
      </c>
      <c r="BZ71" s="31">
        <v>1500000</v>
      </c>
      <c r="CA71" t="s">
        <v>2007</v>
      </c>
      <c r="CF71" s="31"/>
      <c r="CG71" s="31"/>
      <c r="CM71" s="31"/>
      <c r="CN71" s="31"/>
      <c r="CT71" s="31"/>
      <c r="CU71" s="31"/>
      <c r="CV71" s="31"/>
      <c r="DA71" s="31"/>
      <c r="DB71" s="31"/>
      <c r="DC71" s="31"/>
      <c r="DH71" s="31"/>
      <c r="DI71" s="31"/>
      <c r="DO71" s="31"/>
      <c r="DP71" s="31"/>
      <c r="DR71" t="s">
        <v>2519</v>
      </c>
      <c r="DS71" t="s">
        <v>837</v>
      </c>
      <c r="DT71" t="s">
        <v>902</v>
      </c>
      <c r="DU71" s="29" t="s">
        <v>838</v>
      </c>
      <c r="DV71" t="s">
        <v>1971</v>
      </c>
      <c r="DW71" t="s">
        <v>366</v>
      </c>
      <c r="DX71" t="s">
        <v>171</v>
      </c>
      <c r="DY71" t="s">
        <v>168</v>
      </c>
      <c r="DZ71" t="s">
        <v>169</v>
      </c>
      <c r="EA71" s="22">
        <v>43077.177256944444</v>
      </c>
      <c r="EB71" t="s">
        <v>2166</v>
      </c>
      <c r="EC71" t="s">
        <v>2561</v>
      </c>
    </row>
    <row r="72" spans="1:133">
      <c r="A72" s="30">
        <v>42955.700150462966</v>
      </c>
      <c r="B72" s="22">
        <v>42809.642361111109</v>
      </c>
      <c r="C72" s="22" t="s">
        <v>1965</v>
      </c>
      <c r="D72" s="30" t="s">
        <v>741</v>
      </c>
      <c r="E72" s="30" t="s">
        <v>901</v>
      </c>
      <c r="F72" s="30" t="s">
        <v>170</v>
      </c>
      <c r="G72" s="30" t="s">
        <v>1966</v>
      </c>
      <c r="H72" t="s">
        <v>94</v>
      </c>
      <c r="I72" t="s">
        <v>1967</v>
      </c>
      <c r="J72" t="s">
        <v>540</v>
      </c>
      <c r="K72" s="22">
        <v>42914.639050925929</v>
      </c>
      <c r="L72">
        <v>1</v>
      </c>
      <c r="M72" s="26">
        <v>3.11</v>
      </c>
      <c r="N72" t="s">
        <v>923</v>
      </c>
      <c r="Q72" s="29" t="s">
        <v>13</v>
      </c>
      <c r="R72" s="29" t="str">
        <f>IFERROR(MID(RADataTable[[#This Row],[RAtemplate]],1,LEN(RADataTable[[#This Row],[RAtemplate]])-8),"RA") &amp; " " &amp; RADataTable[[#This Row],[prop_id0]] &amp; " " &amp; RADataTable[[#This Row],[last0]]</f>
        <v>RA 1740797 Embree</v>
      </c>
      <c r="U72" s="21" t="str">
        <f>IF(signer1="PD",IF(ISBLANK(RADataTable[[#This Row],[sign_blck_name]]),"",RADataTable[[#This Row],[sign_blck_name]]),IF(ISBLANK(signer1),"",signer1))</f>
        <v>Jack Snoeyink</v>
      </c>
      <c r="V72" s="29" t="str">
        <f>signer2</f>
        <v>Cognizant Program Director</v>
      </c>
      <c r="W72" s="15" t="str">
        <f>HYPERLINK("https://www.ejacket.nsf.gov/ej/showProposal.do?Continue=Y&amp;ID="&amp;RADataTable[[#This Row],[prop_id0]],"eJ")</f>
        <v>eJ</v>
      </c>
      <c r="X72" s="15" t="str">
        <f>HYPERLINK("mailto:"&amp;RADataTable[[#This Row],[email]]&amp;"&amp;subject=Your NSF Proposal:  "&amp;RADataTable[[#This Row],[Div]]&amp;" "&amp;RADataTable[[#This Row],[prop_id0]], RADataTable[[#This Row],[email]])</f>
        <v>embree@vt.edu</v>
      </c>
      <c r="Y72" s="15" t="str">
        <f>HYPERLINK("mailto:"&amp;RADataTable[[#This Row],[allPIemail]]&amp;"&amp;subject=NSF Proposal:  "&amp;RADataTable[[#This Row],[Div]]&amp;" "&amp;RADataTable[[#This Row],[prop_id0]], "PIs@")</f>
        <v>PIs@</v>
      </c>
      <c r="Z72" t="s">
        <v>742</v>
      </c>
      <c r="AA72" t="s">
        <v>1207</v>
      </c>
      <c r="AB72">
        <v>3</v>
      </c>
      <c r="AD72"/>
      <c r="AE72" s="21" t="str">
        <f>IF(RADataTable[[#This Row],[maxScore]]-RADataTable[[#This Row],[minScore]]&gt;4,"Y","")</f>
        <v>Y</v>
      </c>
      <c r="AF72" s="21">
        <v>1</v>
      </c>
      <c r="AG72" s="26">
        <v>4.666666666666667</v>
      </c>
      <c r="AH72">
        <v>7</v>
      </c>
      <c r="AI72" t="s">
        <v>2185</v>
      </c>
      <c r="AJ72" s="30">
        <v>42873.55</v>
      </c>
      <c r="AK72" s="13">
        <v>1498424</v>
      </c>
      <c r="AL72" s="13">
        <v>1498424</v>
      </c>
      <c r="AM72">
        <v>0</v>
      </c>
      <c r="AN72" s="30">
        <v>43009</v>
      </c>
      <c r="AO72" s="21">
        <v>36</v>
      </c>
      <c r="AP72" s="21" t="s">
        <v>2186</v>
      </c>
      <c r="AS72" s="30"/>
      <c r="AT72" t="s">
        <v>919</v>
      </c>
      <c r="AU72" s="21" t="s">
        <v>921</v>
      </c>
      <c r="AV72" s="21">
        <v>11</v>
      </c>
      <c r="AW72" s="21" t="s">
        <v>2517</v>
      </c>
      <c r="AX72" s="30">
        <v>42872</v>
      </c>
      <c r="AY72" s="21" t="s">
        <v>2565</v>
      </c>
      <c r="AZ72" s="21" t="s">
        <v>2518</v>
      </c>
      <c r="BA72" s="21">
        <v>12</v>
      </c>
      <c r="BG72" s="30"/>
      <c r="BP72" s="30"/>
      <c r="BU72" t="s">
        <v>1207</v>
      </c>
      <c r="BV72" s="21" t="s">
        <v>1208</v>
      </c>
      <c r="BW72" s="21" t="s">
        <v>2183</v>
      </c>
      <c r="BX72" s="21" t="s">
        <v>2184</v>
      </c>
      <c r="BY72" s="31">
        <v>1498424</v>
      </c>
      <c r="BZ72" s="31">
        <v>1498424</v>
      </c>
      <c r="CA72" t="s">
        <v>2007</v>
      </c>
      <c r="CF72" s="31"/>
      <c r="CG72" s="31"/>
      <c r="CM72" s="31"/>
      <c r="CN72" s="31"/>
      <c r="CT72" s="31"/>
      <c r="CU72" s="31"/>
      <c r="CV72" s="31"/>
      <c r="DA72" s="31"/>
      <c r="DB72" s="31"/>
      <c r="DC72" s="31"/>
      <c r="DH72" s="31"/>
      <c r="DI72" s="31"/>
      <c r="DO72" s="31"/>
      <c r="DP72" s="31"/>
      <c r="DR72" t="s">
        <v>2519</v>
      </c>
      <c r="DS72" t="s">
        <v>837</v>
      </c>
      <c r="DT72" t="s">
        <v>902</v>
      </c>
      <c r="DU72" s="29" t="s">
        <v>838</v>
      </c>
      <c r="DV72" t="s">
        <v>1971</v>
      </c>
      <c r="DW72" t="s">
        <v>366</v>
      </c>
      <c r="DX72" t="s">
        <v>171</v>
      </c>
      <c r="DY72" t="s">
        <v>168</v>
      </c>
      <c r="DZ72" t="s">
        <v>169</v>
      </c>
      <c r="EA72" s="22">
        <v>43077.177256944444</v>
      </c>
      <c r="EB72" t="s">
        <v>2187</v>
      </c>
      <c r="EC72" t="s">
        <v>2566</v>
      </c>
    </row>
    <row r="73" spans="1:133">
      <c r="A73" s="30">
        <v>42957.67931712963</v>
      </c>
      <c r="B73" s="22">
        <v>42809.648611111108</v>
      </c>
      <c r="C73" s="22" t="s">
        <v>1965</v>
      </c>
      <c r="D73" s="30" t="s">
        <v>741</v>
      </c>
      <c r="E73" s="30" t="s">
        <v>901</v>
      </c>
      <c r="F73" s="30" t="s">
        <v>170</v>
      </c>
      <c r="G73" s="30" t="s">
        <v>1966</v>
      </c>
      <c r="H73" t="s">
        <v>94</v>
      </c>
      <c r="I73" t="s">
        <v>1967</v>
      </c>
      <c r="J73" t="s">
        <v>543</v>
      </c>
      <c r="K73" s="22">
        <v>42951.506886574076</v>
      </c>
      <c r="L73">
        <v>1</v>
      </c>
      <c r="M73" s="26">
        <v>3.11</v>
      </c>
      <c r="N73" t="s">
        <v>923</v>
      </c>
      <c r="Q73" s="29" t="s">
        <v>13</v>
      </c>
      <c r="R73" s="29" t="str">
        <f>IFERROR(MID(RADataTable[[#This Row],[RAtemplate]],1,LEN(RADataTable[[#This Row],[RAtemplate]])-8),"RA") &amp; " " &amp; RADataTable[[#This Row],[prop_id0]] &amp; " " &amp; RADataTable[[#This Row],[last0]]</f>
        <v>RA 1740799 Vidal</v>
      </c>
      <c r="U73" s="21" t="str">
        <f>IF(signer1="PD",IF(ISBLANK(RADataTable[[#This Row],[sign_blck_name]]),"",RADataTable[[#This Row],[sign_blck_name]]),IF(ISBLANK(signer1),"",signer1))</f>
        <v>Tracy J. Kimbrel</v>
      </c>
      <c r="V73" s="29" t="str">
        <f>signer2</f>
        <v>Cognizant Program Director</v>
      </c>
      <c r="W73" s="15" t="str">
        <f>HYPERLINK("https://www.ejacket.nsf.gov/ej/showProposal.do?Continue=Y&amp;ID="&amp;RADataTable[[#This Row],[prop_id0]],"eJ")</f>
        <v>eJ</v>
      </c>
      <c r="X73" s="15" t="str">
        <f>HYPERLINK("mailto:"&amp;RADataTable[[#This Row],[email]]&amp;"&amp;subject=Your NSF Proposal:  "&amp;RADataTable[[#This Row],[Div]]&amp;" "&amp;RADataTable[[#This Row],[prop_id0]], RADataTable[[#This Row],[email]])</f>
        <v>rvidal@cis.jhu.edu</v>
      </c>
      <c r="Y73" s="15" t="str">
        <f>HYPERLINK("mailto:"&amp;RADataTable[[#This Row],[allPIemail]]&amp;"&amp;subject=NSF Proposal:  "&amp;RADataTable[[#This Row],[Div]]&amp;" "&amp;RADataTable[[#This Row],[prop_id0]], "PIs@")</f>
        <v>PIs@</v>
      </c>
      <c r="Z73" t="s">
        <v>742</v>
      </c>
      <c r="AA73" t="s">
        <v>1215</v>
      </c>
      <c r="AB73">
        <v>3</v>
      </c>
      <c r="AD73"/>
      <c r="AE73" s="21" t="str">
        <f>IF(RADataTable[[#This Row],[maxScore]]-RADataTable[[#This Row],[minScore]]&gt;4,"Y","")</f>
        <v/>
      </c>
      <c r="AF73" s="21">
        <v>5</v>
      </c>
      <c r="AG73" s="26">
        <v>6</v>
      </c>
      <c r="AH73">
        <v>7</v>
      </c>
      <c r="AI73" t="s">
        <v>2189</v>
      </c>
      <c r="AJ73" s="30">
        <v>42872.504861111112</v>
      </c>
      <c r="AK73" s="13">
        <v>1500000</v>
      </c>
      <c r="AL73" s="13">
        <v>1500000</v>
      </c>
      <c r="AM73">
        <v>0</v>
      </c>
      <c r="AN73" s="30">
        <v>42979</v>
      </c>
      <c r="AO73" s="21">
        <v>36</v>
      </c>
      <c r="AP73" s="21" t="s">
        <v>2190</v>
      </c>
      <c r="AS73" s="30"/>
      <c r="AT73" t="s">
        <v>919</v>
      </c>
      <c r="AU73" s="21" t="s">
        <v>921</v>
      </c>
      <c r="AV73" s="21">
        <v>11</v>
      </c>
      <c r="AW73" s="21" t="s">
        <v>2517</v>
      </c>
      <c r="AX73" s="30">
        <v>42872</v>
      </c>
      <c r="AY73" s="21" t="s">
        <v>2567</v>
      </c>
      <c r="AZ73" s="21" t="s">
        <v>2518</v>
      </c>
      <c r="BA73" s="21">
        <v>12</v>
      </c>
      <c r="BG73" s="30"/>
      <c r="BP73" s="30"/>
      <c r="BU73" t="s">
        <v>1215</v>
      </c>
      <c r="BV73" s="21" t="s">
        <v>1216</v>
      </c>
      <c r="BW73" s="21" t="s">
        <v>2188</v>
      </c>
      <c r="BX73" s="21" t="s">
        <v>1983</v>
      </c>
      <c r="BY73" s="31">
        <v>1500000</v>
      </c>
      <c r="BZ73" s="31">
        <v>1500000</v>
      </c>
      <c r="CA73" t="s">
        <v>1968</v>
      </c>
      <c r="CF73" s="31"/>
      <c r="CG73" s="31"/>
      <c r="CM73" s="31"/>
      <c r="CN73" s="31"/>
      <c r="CT73" s="31"/>
      <c r="CU73" s="31"/>
      <c r="CV73" s="31"/>
      <c r="DA73" s="31"/>
      <c r="DB73" s="31"/>
      <c r="DC73" s="31"/>
      <c r="DH73" s="31"/>
      <c r="DI73" s="31"/>
      <c r="DO73" s="31"/>
      <c r="DP73" s="31"/>
      <c r="DR73" t="s">
        <v>2519</v>
      </c>
      <c r="DS73" t="s">
        <v>837</v>
      </c>
      <c r="DT73" t="s">
        <v>902</v>
      </c>
      <c r="DU73" s="29" t="s">
        <v>850</v>
      </c>
      <c r="DV73" t="s">
        <v>1971</v>
      </c>
      <c r="DW73" t="s">
        <v>366</v>
      </c>
      <c r="DX73" t="s">
        <v>171</v>
      </c>
      <c r="DY73" t="s">
        <v>168</v>
      </c>
      <c r="DZ73" t="s">
        <v>169</v>
      </c>
      <c r="EA73" s="22">
        <v>43077.177256944444</v>
      </c>
      <c r="EB73" t="s">
        <v>2191</v>
      </c>
      <c r="EC73" t="s">
        <v>2568</v>
      </c>
    </row>
    <row r="74" spans="1:133">
      <c r="A74" s="30">
        <v>42956.380891203706</v>
      </c>
      <c r="B74" s="22">
        <v>42809.663888888892</v>
      </c>
      <c r="C74" s="22" t="s">
        <v>1965</v>
      </c>
      <c r="D74" s="30" t="s">
        <v>741</v>
      </c>
      <c r="E74" s="30" t="s">
        <v>901</v>
      </c>
      <c r="F74" s="30" t="s">
        <v>170</v>
      </c>
      <c r="G74" s="30" t="s">
        <v>1966</v>
      </c>
      <c r="H74" t="s">
        <v>94</v>
      </c>
      <c r="I74" t="s">
        <v>1967</v>
      </c>
      <c r="J74" t="s">
        <v>543</v>
      </c>
      <c r="K74" s="22">
        <v>42951.594155092593</v>
      </c>
      <c r="L74">
        <v>1</v>
      </c>
      <c r="M74" s="26">
        <v>3.11</v>
      </c>
      <c r="N74" t="s">
        <v>923</v>
      </c>
      <c r="Q74" s="29" t="s">
        <v>13</v>
      </c>
      <c r="R74" s="29" t="str">
        <f>IFERROR(MID(RADataTable[[#This Row],[RAtemplate]],1,LEN(RADataTable[[#This Row],[RAtemplate]])-8),"RA") &amp; " " &amp; RADataTable[[#This Row],[prop_id0]] &amp; " " &amp; RADataTable[[#This Row],[last0]]</f>
        <v>RA 1740810 Mitzenmacher</v>
      </c>
      <c r="U74" s="21" t="str">
        <f>IF(signer1="PD",IF(ISBLANK(RADataTable[[#This Row],[sign_blck_name]]),"",RADataTable[[#This Row],[sign_blck_name]]),IF(ISBLANK(signer1),"",signer1))</f>
        <v>Tracy J. Kimbrel</v>
      </c>
      <c r="V74" s="29" t="str">
        <f>signer2</f>
        <v>Cognizant Program Director</v>
      </c>
      <c r="W74" s="15" t="str">
        <f>HYPERLINK("https://www.ejacket.nsf.gov/ej/showProposal.do?Continue=Y&amp;ID="&amp;RADataTable[[#This Row],[prop_id0]],"eJ")</f>
        <v>eJ</v>
      </c>
      <c r="X74" s="15" t="str">
        <f>HYPERLINK("mailto:"&amp;RADataTable[[#This Row],[email]]&amp;"&amp;subject=Your NSF Proposal:  "&amp;RADataTable[[#This Row],[Div]]&amp;" "&amp;RADataTable[[#This Row],[prop_id0]], RADataTable[[#This Row],[email]])</f>
        <v>michaelm@eecs.harvard.edu</v>
      </c>
      <c r="Y74" s="15" t="str">
        <f>HYPERLINK("mailto:"&amp;RADataTable[[#This Row],[allPIemail]]&amp;"&amp;subject=NSF Proposal:  "&amp;RADataTable[[#This Row],[Div]]&amp;" "&amp;RADataTable[[#This Row],[prop_id0]], "PIs@")</f>
        <v>PIs@</v>
      </c>
      <c r="Z74" t="s">
        <v>742</v>
      </c>
      <c r="AA74" t="s">
        <v>1264</v>
      </c>
      <c r="AB74">
        <v>3</v>
      </c>
      <c r="AD74"/>
      <c r="AE74" s="21" t="str">
        <f>IF(RADataTable[[#This Row],[maxScore]]-RADataTable[[#This Row],[minScore]]&gt;4,"Y","")</f>
        <v/>
      </c>
      <c r="AF74" s="21">
        <v>3</v>
      </c>
      <c r="AG74" s="26">
        <v>4.333333333333333</v>
      </c>
      <c r="AH74">
        <v>7</v>
      </c>
      <c r="AI74" t="s">
        <v>2218</v>
      </c>
      <c r="AJ74" s="30">
        <v>42872.452777777777</v>
      </c>
      <c r="AK74" s="13">
        <v>1500000</v>
      </c>
      <c r="AL74" s="13">
        <v>1500000</v>
      </c>
      <c r="AM74">
        <v>0</v>
      </c>
      <c r="AN74" s="30">
        <v>43101</v>
      </c>
      <c r="AO74" s="21">
        <v>36</v>
      </c>
      <c r="AP74" s="21" t="s">
        <v>2219</v>
      </c>
      <c r="AS74" s="30"/>
      <c r="AT74" t="s">
        <v>919</v>
      </c>
      <c r="AU74" s="21" t="s">
        <v>921</v>
      </c>
      <c r="AV74" s="21">
        <v>11</v>
      </c>
      <c r="AW74" s="21" t="s">
        <v>2517</v>
      </c>
      <c r="AX74" s="30">
        <v>42872</v>
      </c>
      <c r="AY74" s="21" t="s">
        <v>2577</v>
      </c>
      <c r="AZ74" s="21" t="s">
        <v>2518</v>
      </c>
      <c r="BA74" s="21">
        <v>12</v>
      </c>
      <c r="BB74" s="21">
        <v>1</v>
      </c>
      <c r="BG74" s="30"/>
      <c r="BP74" s="30"/>
      <c r="BU74" t="s">
        <v>1264</v>
      </c>
      <c r="BV74" s="21" t="s">
        <v>1265</v>
      </c>
      <c r="BW74" s="21" t="s">
        <v>1969</v>
      </c>
      <c r="BX74" s="21" t="s">
        <v>2217</v>
      </c>
      <c r="BY74" s="31">
        <v>1500000</v>
      </c>
      <c r="BZ74" s="31">
        <v>1500000</v>
      </c>
      <c r="CA74" t="s">
        <v>1968</v>
      </c>
      <c r="CF74" s="31"/>
      <c r="CG74" s="31"/>
      <c r="CM74" s="31"/>
      <c r="CN74" s="31"/>
      <c r="CT74" s="31"/>
      <c r="CU74" s="31"/>
      <c r="CV74" s="31"/>
      <c r="DA74" s="31"/>
      <c r="DB74" s="31"/>
      <c r="DC74" s="31"/>
      <c r="DH74" s="31"/>
      <c r="DI74" s="31"/>
      <c r="DO74" s="31"/>
      <c r="DP74" s="31"/>
      <c r="DR74" t="s">
        <v>2519</v>
      </c>
      <c r="DS74" t="s">
        <v>837</v>
      </c>
      <c r="DT74" t="s">
        <v>902</v>
      </c>
      <c r="DU74" s="29" t="s">
        <v>850</v>
      </c>
      <c r="DV74" t="s">
        <v>1971</v>
      </c>
      <c r="DW74" t="s">
        <v>366</v>
      </c>
      <c r="DX74" t="s">
        <v>171</v>
      </c>
      <c r="DY74" t="s">
        <v>168</v>
      </c>
      <c r="DZ74" t="s">
        <v>169</v>
      </c>
      <c r="EA74" s="22">
        <v>43077.177256944444</v>
      </c>
      <c r="EB74" t="s">
        <v>2220</v>
      </c>
      <c r="EC74" t="s">
        <v>2578</v>
      </c>
    </row>
    <row r="75" spans="1:133">
      <c r="A75" s="30">
        <v>42955.710752314815</v>
      </c>
      <c r="B75" s="22">
        <v>42809.693749999999</v>
      </c>
      <c r="C75" s="22" t="s">
        <v>1965</v>
      </c>
      <c r="D75" s="30" t="s">
        <v>741</v>
      </c>
      <c r="E75" s="30" t="s">
        <v>901</v>
      </c>
      <c r="F75" s="30" t="s">
        <v>170</v>
      </c>
      <c r="G75" s="30" t="s">
        <v>1966</v>
      </c>
      <c r="H75" t="s">
        <v>94</v>
      </c>
      <c r="I75" t="s">
        <v>1967</v>
      </c>
      <c r="J75" t="s">
        <v>540</v>
      </c>
      <c r="K75" s="22">
        <v>42914.639224537037</v>
      </c>
      <c r="L75">
        <v>1</v>
      </c>
      <c r="M75" s="26">
        <v>3.11</v>
      </c>
      <c r="N75" t="s">
        <v>923</v>
      </c>
      <c r="Q75" s="29" t="s">
        <v>13</v>
      </c>
      <c r="R75" s="29" t="str">
        <f>IFERROR(MID(RADataTable[[#This Row],[RAtemplate]],1,LEN(RADataTable[[#This Row],[RAtemplate]])-8),"RA") &amp; " " &amp; RADataTable[[#This Row],[prop_id0]] &amp; " " &amp; RADataTable[[#This Row],[last0]]</f>
        <v>RA 1740828 McGregor</v>
      </c>
      <c r="U75" s="21" t="str">
        <f>IF(signer1="PD",IF(ISBLANK(RADataTable[[#This Row],[sign_blck_name]]),"",RADataTable[[#This Row],[sign_blck_name]]),IF(ISBLANK(signer1),"",signer1))</f>
        <v>Jack Snoeyink</v>
      </c>
      <c r="V75" s="29" t="str">
        <f>signer2</f>
        <v>Cognizant Program Director</v>
      </c>
      <c r="W75" s="15" t="str">
        <f>HYPERLINK("https://www.ejacket.nsf.gov/ej/showProposal.do?Continue=Y&amp;ID="&amp;RADataTable[[#This Row],[prop_id0]],"eJ")</f>
        <v>eJ</v>
      </c>
      <c r="X75" s="15" t="str">
        <f>HYPERLINK("mailto:"&amp;RADataTable[[#This Row],[email]]&amp;"&amp;subject=Your NSF Proposal:  "&amp;RADataTable[[#This Row],[Div]]&amp;" "&amp;RADataTable[[#This Row],[prop_id0]], RADataTable[[#This Row],[email]])</f>
        <v>mcgregor@cs.umass.edu</v>
      </c>
      <c r="Y75" s="15" t="str">
        <f>HYPERLINK("mailto:"&amp;RADataTable[[#This Row],[allPIemail]]&amp;"&amp;subject=NSF Proposal:  "&amp;RADataTable[[#This Row],[Div]]&amp;" "&amp;RADataTable[[#This Row],[prop_id0]], "PIs@")</f>
        <v>PIs@</v>
      </c>
      <c r="Z75" t="s">
        <v>742</v>
      </c>
      <c r="AA75" t="s">
        <v>1339</v>
      </c>
      <c r="AB75">
        <v>3</v>
      </c>
      <c r="AD75"/>
      <c r="AE75" s="21" t="str">
        <f>IF(RADataTable[[#This Row],[maxScore]]-RADataTable[[#This Row],[minScore]]&gt;4,"Y","")</f>
        <v/>
      </c>
      <c r="AF75" s="21">
        <v>3</v>
      </c>
      <c r="AG75" s="26">
        <v>4.666666666666667</v>
      </c>
      <c r="AH75">
        <v>6</v>
      </c>
      <c r="AI75" t="s">
        <v>834</v>
      </c>
      <c r="AJ75" s="30">
        <v>42872.493055555555</v>
      </c>
      <c r="AK75" s="13">
        <v>1499733</v>
      </c>
      <c r="AL75" s="13">
        <v>1499733</v>
      </c>
      <c r="AM75">
        <v>0</v>
      </c>
      <c r="AN75" s="30">
        <v>42979</v>
      </c>
      <c r="AO75" s="21">
        <v>36</v>
      </c>
      <c r="AP75" s="21" t="s">
        <v>2264</v>
      </c>
      <c r="AS75" s="30"/>
      <c r="AT75" t="s">
        <v>919</v>
      </c>
      <c r="AU75" s="21" t="s">
        <v>921</v>
      </c>
      <c r="AV75" s="21">
        <v>11</v>
      </c>
      <c r="AW75" s="21" t="s">
        <v>2517</v>
      </c>
      <c r="AX75" s="30">
        <v>42872</v>
      </c>
      <c r="AY75" s="21" t="s">
        <v>877</v>
      </c>
      <c r="AZ75" s="21" t="s">
        <v>2518</v>
      </c>
      <c r="BA75" s="21">
        <v>12</v>
      </c>
      <c r="BB75" s="21">
        <v>2</v>
      </c>
      <c r="BG75" s="30"/>
      <c r="BP75" s="30"/>
      <c r="BU75" t="s">
        <v>1339</v>
      </c>
      <c r="BV75" s="21" t="s">
        <v>1340</v>
      </c>
      <c r="BW75" s="21" t="s">
        <v>2100</v>
      </c>
      <c r="BX75" s="21" t="s">
        <v>2032</v>
      </c>
      <c r="BY75" s="31">
        <v>1499733</v>
      </c>
      <c r="BZ75" s="31">
        <v>1499733</v>
      </c>
      <c r="CA75" t="s">
        <v>1968</v>
      </c>
      <c r="CF75" s="31"/>
      <c r="CG75" s="31"/>
      <c r="CM75" s="31"/>
      <c r="CN75" s="31"/>
      <c r="CT75" s="31"/>
      <c r="CU75" s="31"/>
      <c r="CV75" s="31"/>
      <c r="DA75" s="31"/>
      <c r="DB75" s="31"/>
      <c r="DC75" s="31"/>
      <c r="DH75" s="31"/>
      <c r="DI75" s="31"/>
      <c r="DO75" s="31"/>
      <c r="DP75" s="31"/>
      <c r="DR75" t="s">
        <v>2519</v>
      </c>
      <c r="DS75" t="s">
        <v>837</v>
      </c>
      <c r="DT75" t="s">
        <v>902</v>
      </c>
      <c r="DU75" s="29" t="s">
        <v>838</v>
      </c>
      <c r="DV75" t="s">
        <v>1971</v>
      </c>
      <c r="DW75" t="s">
        <v>366</v>
      </c>
      <c r="DX75" t="s">
        <v>171</v>
      </c>
      <c r="DY75" t="s">
        <v>168</v>
      </c>
      <c r="DZ75" t="s">
        <v>169</v>
      </c>
      <c r="EA75" s="22">
        <v>43077.177256944444</v>
      </c>
      <c r="EB75" t="s">
        <v>2265</v>
      </c>
      <c r="EC75" t="s">
        <v>2593</v>
      </c>
    </row>
    <row r="76" spans="1:133">
      <c r="A76" s="30">
        <v>42955.712395833332</v>
      </c>
      <c r="B76" s="22">
        <v>42809.695138888892</v>
      </c>
      <c r="C76" s="22" t="s">
        <v>1965</v>
      </c>
      <c r="D76" s="30" t="s">
        <v>741</v>
      </c>
      <c r="E76" s="30" t="s">
        <v>901</v>
      </c>
      <c r="F76" s="30" t="s">
        <v>170</v>
      </c>
      <c r="G76" s="30" t="s">
        <v>1966</v>
      </c>
      <c r="H76" t="s">
        <v>94</v>
      </c>
      <c r="I76" t="s">
        <v>1967</v>
      </c>
      <c r="J76" t="s">
        <v>540</v>
      </c>
      <c r="K76" s="22">
        <v>42914.639282407406</v>
      </c>
      <c r="L76">
        <v>1</v>
      </c>
      <c r="M76" s="26">
        <v>3.11</v>
      </c>
      <c r="N76" t="s">
        <v>923</v>
      </c>
      <c r="Q76" s="29" t="s">
        <v>13</v>
      </c>
      <c r="R76" s="29" t="str">
        <f>IFERROR(MID(RADataTable[[#This Row],[RAtemplate]],1,LEN(RADataTable[[#This Row],[RAtemplate]])-8),"RA") &amp; " " &amp; RADataTable[[#This Row],[prop_id0]] &amp; " " &amp; RADataTable[[#This Row],[last0]]</f>
        <v>RA 1740829 Lahiri</v>
      </c>
      <c r="U76" s="21" t="str">
        <f>IF(signer1="PD",IF(ISBLANK(RADataTable[[#This Row],[sign_blck_name]]),"",RADataTable[[#This Row],[sign_blck_name]]),IF(ISBLANK(signer1),"",signer1))</f>
        <v>Jack Snoeyink</v>
      </c>
      <c r="V76" s="29" t="str">
        <f>signer2</f>
        <v>Cognizant Program Director</v>
      </c>
      <c r="W76" s="15" t="str">
        <f>HYPERLINK("https://www.ejacket.nsf.gov/ej/showProposal.do?Continue=Y&amp;ID="&amp;RADataTable[[#This Row],[prop_id0]],"eJ")</f>
        <v>eJ</v>
      </c>
      <c r="X76" s="15" t="str">
        <f>HYPERLINK("mailto:"&amp;RADataTable[[#This Row],[email]]&amp;"&amp;subject=Your NSF Proposal:  "&amp;RADataTable[[#This Row],[Div]]&amp;" "&amp;RADataTable[[#This Row],[prop_id0]], RADataTable[[#This Row],[email]])</f>
        <v>plahiri@umd.edu</v>
      </c>
      <c r="Y76" s="15" t="str">
        <f>HYPERLINK("mailto:"&amp;RADataTable[[#This Row],[allPIemail]]&amp;"&amp;subject=NSF Proposal:  "&amp;RADataTable[[#This Row],[Div]]&amp;" "&amp;RADataTable[[#This Row],[prop_id0]], "PIs@")</f>
        <v>PIs@</v>
      </c>
      <c r="Z76" t="s">
        <v>742</v>
      </c>
      <c r="AA76" t="s">
        <v>1347</v>
      </c>
      <c r="AB76">
        <v>3</v>
      </c>
      <c r="AD76"/>
      <c r="AE76" s="21" t="str">
        <f>IF(RADataTable[[#This Row],[maxScore]]-RADataTable[[#This Row],[minScore]]&gt;4,"Y","")</f>
        <v/>
      </c>
      <c r="AF76" s="21">
        <v>5</v>
      </c>
      <c r="AG76" s="26">
        <v>5.666666666666667</v>
      </c>
      <c r="AH76">
        <v>7</v>
      </c>
      <c r="AI76" t="s">
        <v>2248</v>
      </c>
      <c r="AJ76" s="30">
        <v>42872.520833333336</v>
      </c>
      <c r="AK76" s="13">
        <v>1499984</v>
      </c>
      <c r="AL76" s="13">
        <v>1499984</v>
      </c>
      <c r="AM76">
        <v>0</v>
      </c>
      <c r="AN76" s="30">
        <v>42979</v>
      </c>
      <c r="AO76" s="21">
        <v>36</v>
      </c>
      <c r="AP76" s="21" t="s">
        <v>2268</v>
      </c>
      <c r="AS76" s="30"/>
      <c r="AT76" t="s">
        <v>919</v>
      </c>
      <c r="AU76" s="21" t="s">
        <v>921</v>
      </c>
      <c r="AV76" s="21">
        <v>11</v>
      </c>
      <c r="AW76" s="21" t="s">
        <v>2517</v>
      </c>
      <c r="AX76" s="30">
        <v>42872</v>
      </c>
      <c r="AY76" s="21" t="s">
        <v>2588</v>
      </c>
      <c r="AZ76" s="21" t="s">
        <v>2518</v>
      </c>
      <c r="BA76" s="21">
        <v>12</v>
      </c>
      <c r="BG76" s="30"/>
      <c r="BP76" s="30"/>
      <c r="BU76" t="s">
        <v>1347</v>
      </c>
      <c r="BV76" s="21" t="s">
        <v>1348</v>
      </c>
      <c r="BW76" s="21" t="s">
        <v>2266</v>
      </c>
      <c r="BX76" s="21" t="s">
        <v>2267</v>
      </c>
      <c r="BY76" s="31">
        <v>1499984</v>
      </c>
      <c r="BZ76" s="31">
        <v>1499984</v>
      </c>
      <c r="CA76" t="s">
        <v>1968</v>
      </c>
      <c r="CF76" s="31"/>
      <c r="CG76" s="31"/>
      <c r="CM76" s="31"/>
      <c r="CN76" s="31"/>
      <c r="CT76" s="31"/>
      <c r="CU76" s="31"/>
      <c r="CV76" s="31"/>
      <c r="DA76" s="31"/>
      <c r="DB76" s="31"/>
      <c r="DC76" s="31"/>
      <c r="DH76" s="31"/>
      <c r="DI76" s="31"/>
      <c r="DO76" s="31"/>
      <c r="DP76" s="31"/>
      <c r="DR76" t="s">
        <v>2519</v>
      </c>
      <c r="DS76" t="s">
        <v>837</v>
      </c>
      <c r="DT76" t="s">
        <v>902</v>
      </c>
      <c r="DU76" s="29" t="s">
        <v>838</v>
      </c>
      <c r="DV76" t="s">
        <v>1971</v>
      </c>
      <c r="DW76" t="s">
        <v>366</v>
      </c>
      <c r="DX76" t="s">
        <v>171</v>
      </c>
      <c r="DY76" t="s">
        <v>168</v>
      </c>
      <c r="DZ76" t="s">
        <v>169</v>
      </c>
      <c r="EA76" s="22">
        <v>43077.177256944444</v>
      </c>
      <c r="EB76" t="s">
        <v>2269</v>
      </c>
      <c r="EC76" t="s">
        <v>2594</v>
      </c>
    </row>
    <row r="77" spans="1:133">
      <c r="A77" s="30">
        <v>42956.384513888886</v>
      </c>
      <c r="B77" s="22">
        <v>42809.700694444444</v>
      </c>
      <c r="C77" s="22" t="s">
        <v>1965</v>
      </c>
      <c r="D77" s="30" t="s">
        <v>741</v>
      </c>
      <c r="E77" s="30" t="s">
        <v>901</v>
      </c>
      <c r="F77" s="30" t="s">
        <v>170</v>
      </c>
      <c r="G77" s="30" t="s">
        <v>1966</v>
      </c>
      <c r="H77" t="s">
        <v>94</v>
      </c>
      <c r="I77" t="s">
        <v>1967</v>
      </c>
      <c r="J77" t="s">
        <v>543</v>
      </c>
      <c r="K77" s="22">
        <v>42951.541817129626</v>
      </c>
      <c r="L77">
        <v>1</v>
      </c>
      <c r="M77" s="26">
        <v>3.11</v>
      </c>
      <c r="N77" t="s">
        <v>923</v>
      </c>
      <c r="Q77" s="29" t="s">
        <v>13</v>
      </c>
      <c r="R77" s="29" t="str">
        <f>IFERROR(MID(RADataTable[[#This Row],[RAtemplate]],1,LEN(RADataTable[[#This Row],[RAtemplate]])-8),"RA") &amp; " " &amp; RADataTable[[#This Row],[prop_id0]] &amp; " " &amp; RADataTable[[#This Row],[last0]]</f>
        <v>RA 1740831 Ramachandran</v>
      </c>
      <c r="U77" s="21" t="str">
        <f>IF(signer1="PD",IF(ISBLANK(RADataTable[[#This Row],[sign_blck_name]]),"",RADataTable[[#This Row],[sign_blck_name]]),IF(ISBLANK(signer1),"",signer1))</f>
        <v>Tracy J. Kimbrel</v>
      </c>
      <c r="V77" s="29" t="str">
        <f>signer2</f>
        <v>Cognizant Program Director</v>
      </c>
      <c r="W77" s="15" t="str">
        <f>HYPERLINK("https://www.ejacket.nsf.gov/ej/showProposal.do?Continue=Y&amp;ID="&amp;RADataTable[[#This Row],[prop_id0]],"eJ")</f>
        <v>eJ</v>
      </c>
      <c r="X77" s="15" t="str">
        <f>HYPERLINK("mailto:"&amp;RADataTable[[#This Row],[email]]&amp;"&amp;subject=Your NSF Proposal:  "&amp;RADataTable[[#This Row],[Div]]&amp;" "&amp;RADataTable[[#This Row],[prop_id0]], RADataTable[[#This Row],[email]])</f>
        <v>ram@usf.edu</v>
      </c>
      <c r="Y77" s="15" t="str">
        <f>HYPERLINK("mailto:"&amp;RADataTable[[#This Row],[allPIemail]]&amp;"&amp;subject=NSF Proposal:  "&amp;RADataTable[[#This Row],[Div]]&amp;" "&amp;RADataTable[[#This Row],[prop_id0]], "PIs@")</f>
        <v>PIs@</v>
      </c>
      <c r="Z77" t="s">
        <v>742</v>
      </c>
      <c r="AA77" t="s">
        <v>1363</v>
      </c>
      <c r="AB77">
        <v>5</v>
      </c>
      <c r="AD77"/>
      <c r="AE77" s="21" t="str">
        <f>IF(RADataTable[[#This Row],[maxScore]]-RADataTable[[#This Row],[minScore]]&gt;4,"Y","")</f>
        <v/>
      </c>
      <c r="AF77" s="21">
        <v>2</v>
      </c>
      <c r="AG77" s="26">
        <v>4</v>
      </c>
      <c r="AH77">
        <v>5</v>
      </c>
      <c r="AI77" t="s">
        <v>2276</v>
      </c>
      <c r="AJ77" s="30">
        <v>42871.898611111108</v>
      </c>
      <c r="AK77" s="13">
        <v>1464858</v>
      </c>
      <c r="AL77" s="13">
        <v>1464858</v>
      </c>
      <c r="AM77">
        <v>0</v>
      </c>
      <c r="AN77" s="30">
        <v>43101</v>
      </c>
      <c r="AO77" s="21">
        <v>36</v>
      </c>
      <c r="AP77" s="21" t="s">
        <v>2277</v>
      </c>
      <c r="AS77" s="30"/>
      <c r="AT77" t="s">
        <v>919</v>
      </c>
      <c r="AU77" s="21" t="s">
        <v>921</v>
      </c>
      <c r="AV77" s="21">
        <v>11</v>
      </c>
      <c r="AW77" s="21" t="s">
        <v>2517</v>
      </c>
      <c r="AX77" s="30">
        <v>42872</v>
      </c>
      <c r="AY77" s="21" t="s">
        <v>2597</v>
      </c>
      <c r="AZ77" s="21" t="s">
        <v>2518</v>
      </c>
      <c r="BA77" s="21">
        <v>12</v>
      </c>
      <c r="BG77" s="30"/>
      <c r="BP77" s="30"/>
      <c r="BU77" t="s">
        <v>1363</v>
      </c>
      <c r="BV77" s="21" t="s">
        <v>1364</v>
      </c>
      <c r="BW77" s="21" t="s">
        <v>2275</v>
      </c>
      <c r="BX77" s="21" t="s">
        <v>812</v>
      </c>
      <c r="BY77" s="31">
        <v>1464858</v>
      </c>
      <c r="BZ77" s="31">
        <v>1464858</v>
      </c>
      <c r="CA77" t="s">
        <v>1968</v>
      </c>
      <c r="CF77" s="31"/>
      <c r="CG77" s="31"/>
      <c r="CM77" s="31"/>
      <c r="CN77" s="31"/>
      <c r="CT77" s="31"/>
      <c r="CU77" s="31"/>
      <c r="CV77" s="31"/>
      <c r="DA77" s="31"/>
      <c r="DB77" s="31"/>
      <c r="DC77" s="31"/>
      <c r="DH77" s="31"/>
      <c r="DI77" s="31"/>
      <c r="DO77" s="31"/>
      <c r="DP77" s="31"/>
      <c r="DR77" t="s">
        <v>2519</v>
      </c>
      <c r="DS77" t="s">
        <v>837</v>
      </c>
      <c r="DT77" t="s">
        <v>902</v>
      </c>
      <c r="DU77" s="29" t="s">
        <v>850</v>
      </c>
      <c r="DV77" t="s">
        <v>1971</v>
      </c>
      <c r="DW77" t="s">
        <v>366</v>
      </c>
      <c r="DX77" t="s">
        <v>171</v>
      </c>
      <c r="DY77" t="s">
        <v>168</v>
      </c>
      <c r="DZ77" t="s">
        <v>169</v>
      </c>
      <c r="EA77" s="22">
        <v>43077.177256944444</v>
      </c>
      <c r="EB77" t="s">
        <v>2278</v>
      </c>
      <c r="EC77" t="s">
        <v>2598</v>
      </c>
    </row>
    <row r="78" spans="1:133">
      <c r="A78" s="30">
        <v>42956.385439814818</v>
      </c>
      <c r="B78" s="22">
        <v>42809.706250000003</v>
      </c>
      <c r="C78" s="22" t="s">
        <v>1965</v>
      </c>
      <c r="D78" s="30" t="s">
        <v>741</v>
      </c>
      <c r="E78" s="30" t="s">
        <v>901</v>
      </c>
      <c r="F78" s="30" t="s">
        <v>170</v>
      </c>
      <c r="G78" s="30" t="s">
        <v>1966</v>
      </c>
      <c r="H78" t="s">
        <v>94</v>
      </c>
      <c r="I78" t="s">
        <v>1967</v>
      </c>
      <c r="J78" t="s">
        <v>543</v>
      </c>
      <c r="K78" s="22">
        <v>42951.589386574073</v>
      </c>
      <c r="L78">
        <v>1</v>
      </c>
      <c r="M78" s="26">
        <v>3.11</v>
      </c>
      <c r="N78" t="s">
        <v>923</v>
      </c>
      <c r="Q78" s="29" t="s">
        <v>13</v>
      </c>
      <c r="R78" s="29" t="str">
        <f>IFERROR(MID(RADataTable[[#This Row],[RAtemplate]],1,LEN(RADataTable[[#This Row],[RAtemplate]])-8),"RA") &amp; " " &amp; RADataTable[[#This Row],[prop_id0]] &amp; " " &amp; RADataTable[[#This Row],[last0]]</f>
        <v>RA 1740835 Orecchia</v>
      </c>
      <c r="U78" s="21" t="str">
        <f>IF(signer1="PD",IF(ISBLANK(RADataTable[[#This Row],[sign_blck_name]]),"",RADataTable[[#This Row],[sign_blck_name]]),IF(ISBLANK(signer1),"",signer1))</f>
        <v>Tracy J. Kimbrel</v>
      </c>
      <c r="V78" s="29" t="str">
        <f>signer2</f>
        <v>Cognizant Program Director</v>
      </c>
      <c r="W78" s="15" t="str">
        <f>HYPERLINK("https://www.ejacket.nsf.gov/ej/showProposal.do?Continue=Y&amp;ID="&amp;RADataTable[[#This Row],[prop_id0]],"eJ")</f>
        <v>eJ</v>
      </c>
      <c r="X78" s="15" t="str">
        <f>HYPERLINK("mailto:"&amp;RADataTable[[#This Row],[email]]&amp;"&amp;subject=Your NSF Proposal:  "&amp;RADataTable[[#This Row],[Div]]&amp;" "&amp;RADataTable[[#This Row],[prop_id0]], RADataTable[[#This Row],[email]])</f>
        <v>orecchia@bu.edu</v>
      </c>
      <c r="Y78" s="15" t="str">
        <f>HYPERLINK("mailto:"&amp;RADataTable[[#This Row],[allPIemail]]&amp;"&amp;subject=NSF Proposal:  "&amp;RADataTable[[#This Row],[Div]]&amp;" "&amp;RADataTable[[#This Row],[prop_id0]], "PIs@")</f>
        <v>PIs@</v>
      </c>
      <c r="Z78" t="s">
        <v>742</v>
      </c>
      <c r="AA78" t="s">
        <v>1389</v>
      </c>
      <c r="AB78">
        <v>3</v>
      </c>
      <c r="AD78"/>
      <c r="AE78" s="21" t="str">
        <f>IF(RADataTable[[#This Row],[maxScore]]-RADataTable[[#This Row],[minScore]]&gt;4,"Y","")</f>
        <v/>
      </c>
      <c r="AF78" s="21">
        <v>3</v>
      </c>
      <c r="AG78" s="26">
        <v>4.666666666666667</v>
      </c>
      <c r="AH78">
        <v>6</v>
      </c>
      <c r="AI78" t="s">
        <v>834</v>
      </c>
      <c r="AJ78" s="30">
        <v>42873.52847222222</v>
      </c>
      <c r="AK78" s="13">
        <v>1493907</v>
      </c>
      <c r="AL78" s="13">
        <v>1493907</v>
      </c>
      <c r="AM78">
        <v>0</v>
      </c>
      <c r="AN78" s="30">
        <v>43101</v>
      </c>
      <c r="AO78" s="21">
        <v>36</v>
      </c>
      <c r="AP78" s="21" t="s">
        <v>2288</v>
      </c>
      <c r="AS78" s="30"/>
      <c r="AT78" t="s">
        <v>919</v>
      </c>
      <c r="AU78" s="21" t="s">
        <v>921</v>
      </c>
      <c r="AV78" s="21">
        <v>11</v>
      </c>
      <c r="AW78" s="21" t="s">
        <v>2517</v>
      </c>
      <c r="AX78" s="30">
        <v>42872</v>
      </c>
      <c r="AY78" s="21" t="s">
        <v>877</v>
      </c>
      <c r="AZ78" s="21" t="s">
        <v>2518</v>
      </c>
      <c r="BA78" s="21">
        <v>12</v>
      </c>
      <c r="BB78" s="21">
        <v>2</v>
      </c>
      <c r="BG78" s="30"/>
      <c r="BP78" s="30"/>
      <c r="BU78" t="s">
        <v>1389</v>
      </c>
      <c r="BV78" s="21" t="s">
        <v>1390</v>
      </c>
      <c r="BW78" s="21" t="s">
        <v>2286</v>
      </c>
      <c r="BX78" s="21" t="s">
        <v>2287</v>
      </c>
      <c r="BY78" s="31">
        <v>1493907</v>
      </c>
      <c r="BZ78" s="31">
        <v>1493907</v>
      </c>
      <c r="CA78" t="s">
        <v>1968</v>
      </c>
      <c r="CF78" s="31"/>
      <c r="CG78" s="31"/>
      <c r="CM78" s="31"/>
      <c r="CN78" s="31"/>
      <c r="CT78" s="31"/>
      <c r="CU78" s="31"/>
      <c r="CV78" s="31"/>
      <c r="DA78" s="31"/>
      <c r="DB78" s="31"/>
      <c r="DC78" s="31"/>
      <c r="DH78" s="31"/>
      <c r="DI78" s="31"/>
      <c r="DO78" s="31"/>
      <c r="DP78" s="31"/>
      <c r="DR78" t="s">
        <v>2519</v>
      </c>
      <c r="DS78" t="s">
        <v>837</v>
      </c>
      <c r="DT78" t="s">
        <v>902</v>
      </c>
      <c r="DU78" s="29" t="s">
        <v>850</v>
      </c>
      <c r="DV78" t="s">
        <v>1971</v>
      </c>
      <c r="DW78" t="s">
        <v>366</v>
      </c>
      <c r="DX78" t="s">
        <v>171</v>
      </c>
      <c r="DY78" t="s">
        <v>168</v>
      </c>
      <c r="DZ78" t="s">
        <v>169</v>
      </c>
      <c r="EA78" s="22">
        <v>43077.177256944444</v>
      </c>
      <c r="EB78" t="s">
        <v>2289</v>
      </c>
      <c r="EC78" t="s">
        <v>2602</v>
      </c>
    </row>
    <row r="79" spans="1:133">
      <c r="A79" s="30">
        <v>42954.675567129627</v>
      </c>
      <c r="B79" s="22">
        <v>42810.679861111108</v>
      </c>
      <c r="C79" s="22" t="s">
        <v>1965</v>
      </c>
      <c r="D79" s="30" t="s">
        <v>741</v>
      </c>
      <c r="E79" s="30" t="s">
        <v>901</v>
      </c>
      <c r="F79" s="30" t="s">
        <v>170</v>
      </c>
      <c r="G79" s="30" t="s">
        <v>1966</v>
      </c>
      <c r="H79" t="s">
        <v>94</v>
      </c>
      <c r="I79" t="s">
        <v>1967</v>
      </c>
      <c r="J79" t="s">
        <v>543</v>
      </c>
      <c r="K79" s="22">
        <v>42951.484560185185</v>
      </c>
      <c r="L79">
        <v>1</v>
      </c>
      <c r="M79" s="26">
        <v>3.11</v>
      </c>
      <c r="N79" t="s">
        <v>923</v>
      </c>
      <c r="Q79" s="29" t="s">
        <v>13</v>
      </c>
      <c r="R79" s="29" t="str">
        <f>IFERROR(MID(RADataTable[[#This Row],[RAtemplate]],1,LEN(RADataTable[[#This Row],[RAtemplate]])-8),"RA") &amp; " " &amp; RADataTable[[#This Row],[prop_id0]] &amp; " " &amp; RADataTable[[#This Row],[last0]]</f>
        <v>RA 1740904 Yener</v>
      </c>
      <c r="U79" s="21" t="str">
        <f>IF(signer1="PD",IF(ISBLANK(RADataTable[[#This Row],[sign_blck_name]]),"",RADataTable[[#This Row],[sign_blck_name]]),IF(ISBLANK(signer1),"",signer1))</f>
        <v>Tracy J. Kimbrel</v>
      </c>
      <c r="V79" s="29" t="str">
        <f>signer2</f>
        <v>Cognizant Program Director</v>
      </c>
      <c r="W79" s="15" t="str">
        <f>HYPERLINK("https://www.ejacket.nsf.gov/ej/showProposal.do?Continue=Y&amp;ID="&amp;RADataTable[[#This Row],[prop_id0]],"eJ")</f>
        <v>eJ</v>
      </c>
      <c r="X79" s="15" t="str">
        <f>HYPERLINK("mailto:"&amp;RADataTable[[#This Row],[email]]&amp;"&amp;subject=Your NSF Proposal:  "&amp;RADataTable[[#This Row],[Div]]&amp;" "&amp;RADataTable[[#This Row],[prop_id0]], RADataTable[[#This Row],[email]])</f>
        <v>byener@gmail.com</v>
      </c>
      <c r="Y79" s="15" t="str">
        <f>HYPERLINK("mailto:"&amp;RADataTable[[#This Row],[allPIemail]]&amp;"&amp;subject=NSF Proposal:  "&amp;RADataTable[[#This Row],[Div]]&amp;" "&amp;RADataTable[[#This Row],[prop_id0]], "PIs@")</f>
        <v>PIs@</v>
      </c>
      <c r="Z79" t="s">
        <v>742</v>
      </c>
      <c r="AA79" t="s">
        <v>1479</v>
      </c>
      <c r="AB79">
        <v>3</v>
      </c>
      <c r="AD79"/>
      <c r="AE79" s="21" t="str">
        <f>IF(RADataTable[[#This Row],[maxScore]]-RADataTable[[#This Row],[minScore]]&gt;4,"Y","")</f>
        <v>Y</v>
      </c>
      <c r="AF79" s="21">
        <v>1</v>
      </c>
      <c r="AG79" s="26">
        <v>5</v>
      </c>
      <c r="AH79">
        <v>7</v>
      </c>
      <c r="AI79" t="s">
        <v>2340</v>
      </c>
      <c r="AJ79" s="30">
        <v>42872.491666666669</v>
      </c>
      <c r="AK79" s="13">
        <v>1499997</v>
      </c>
      <c r="AL79" s="13">
        <v>1499997</v>
      </c>
      <c r="AM79">
        <v>0</v>
      </c>
      <c r="AN79" s="30">
        <v>42978</v>
      </c>
      <c r="AO79" s="21">
        <v>36</v>
      </c>
      <c r="AP79" s="21" t="s">
        <v>2341</v>
      </c>
      <c r="AS79" s="30"/>
      <c r="AT79" t="s">
        <v>919</v>
      </c>
      <c r="AU79" s="21" t="s">
        <v>921</v>
      </c>
      <c r="AV79" s="21">
        <v>11</v>
      </c>
      <c r="AW79" s="21" t="s">
        <v>2517</v>
      </c>
      <c r="AX79" s="30">
        <v>42872</v>
      </c>
      <c r="AY79" s="21" t="s">
        <v>2617</v>
      </c>
      <c r="AZ79" s="21" t="s">
        <v>2518</v>
      </c>
      <c r="BA79" s="21">
        <v>12</v>
      </c>
      <c r="BB79" s="21">
        <v>1</v>
      </c>
      <c r="BG79" s="30"/>
      <c r="BP79" s="30"/>
      <c r="BU79" t="s">
        <v>1479</v>
      </c>
      <c r="BV79" s="21" t="s">
        <v>1480</v>
      </c>
      <c r="BW79" s="21" t="s">
        <v>2338</v>
      </c>
      <c r="BX79" s="21" t="s">
        <v>2339</v>
      </c>
      <c r="BY79" s="31">
        <v>1277934</v>
      </c>
      <c r="BZ79" s="31">
        <v>1277934</v>
      </c>
      <c r="CA79" t="s">
        <v>1968</v>
      </c>
      <c r="CB79" s="21" t="s">
        <v>2343</v>
      </c>
      <c r="CC79" s="21" t="s">
        <v>2344</v>
      </c>
      <c r="CD79" s="21" t="s">
        <v>2345</v>
      </c>
      <c r="CE79" s="21" t="s">
        <v>2346</v>
      </c>
      <c r="CF79" s="31">
        <v>222063</v>
      </c>
      <c r="CG79" s="31">
        <v>222063</v>
      </c>
      <c r="CH79" t="s">
        <v>2007</v>
      </c>
      <c r="CM79" s="31"/>
      <c r="CN79" s="31"/>
      <c r="CT79" s="31"/>
      <c r="CU79" s="31"/>
      <c r="CV79" s="31"/>
      <c r="DA79" s="31"/>
      <c r="DB79" s="31"/>
      <c r="DC79" s="31"/>
      <c r="DH79" s="31"/>
      <c r="DI79" s="31"/>
      <c r="DO79" s="31"/>
      <c r="DP79" s="31"/>
      <c r="DR79" t="s">
        <v>2519</v>
      </c>
      <c r="DS79" t="s">
        <v>837</v>
      </c>
      <c r="DT79" t="s">
        <v>902</v>
      </c>
      <c r="DU79" s="29" t="s">
        <v>850</v>
      </c>
      <c r="DV79" t="s">
        <v>1971</v>
      </c>
      <c r="DW79" t="s">
        <v>366</v>
      </c>
      <c r="DX79" t="s">
        <v>171</v>
      </c>
      <c r="DY79" t="s">
        <v>168</v>
      </c>
      <c r="DZ79" t="s">
        <v>169</v>
      </c>
      <c r="EA79" s="22">
        <v>43077.177256944444</v>
      </c>
      <c r="EB79" t="s">
        <v>2342</v>
      </c>
      <c r="EC79" t="s">
        <v>2618</v>
      </c>
    </row>
    <row r="80" spans="1:133">
      <c r="A80" s="30"/>
      <c r="B80" s="22">
        <v>42933.444444444445</v>
      </c>
      <c r="C80" s="22" t="s">
        <v>242</v>
      </c>
      <c r="D80" s="30" t="s">
        <v>2348</v>
      </c>
      <c r="E80" s="30" t="s">
        <v>903</v>
      </c>
      <c r="F80" s="30" t="s">
        <v>170</v>
      </c>
      <c r="G80" s="30" t="s">
        <v>172</v>
      </c>
      <c r="H80" t="s">
        <v>94</v>
      </c>
      <c r="I80" t="s">
        <v>2349</v>
      </c>
      <c r="J80" t="s">
        <v>1488</v>
      </c>
      <c r="K80" s="22">
        <v>43068.644884259258</v>
      </c>
      <c r="L80">
        <v>2</v>
      </c>
      <c r="M80" s="26">
        <v>3.11</v>
      </c>
      <c r="N80" t="s">
        <v>248</v>
      </c>
      <c r="O80" t="s">
        <v>248</v>
      </c>
      <c r="Q80" s="29" t="s">
        <v>13</v>
      </c>
      <c r="R80" s="29" t="str">
        <f>IFERROR(MID(RADataTable[[#This Row],[RAtemplate]],1,LEN(RADataTable[[#This Row],[RAtemplate]])-8),"RA") &amp; " " &amp; RADataTable[[#This Row],[prop_id0]] &amp; " " &amp; RADataTable[[#This Row],[last0]]</f>
        <v>RA 1749315 Yang</v>
      </c>
      <c r="U80" s="21" t="str">
        <f>IF(signer1="PD",IF(ISBLANK(RADataTable[[#This Row],[sign_blck_name]]),"",RADataTable[[#This Row],[sign_blck_name]]),IF(ISBLANK(signer1),"",signer1))</f>
        <v>Weng-keen Wong</v>
      </c>
      <c r="V80" s="29" t="str">
        <f>signer2</f>
        <v>Cognizant Program Director</v>
      </c>
      <c r="W80" s="15" t="str">
        <f>HYPERLINK("https://www.ejacket.nsf.gov/ej/showProposal.do?Continue=Y&amp;ID="&amp;RADataTable[[#This Row],[prop_id0]],"eJ")</f>
        <v>eJ</v>
      </c>
      <c r="X80" s="15" t="str">
        <f>HYPERLINK("mailto:"&amp;RADataTable[[#This Row],[email]]&amp;"&amp;subject=Your NSF Proposal:  "&amp;RADataTable[[#This Row],[Div]]&amp;" "&amp;RADataTable[[#This Row],[prop_id0]], RADataTable[[#This Row],[email]])</f>
        <v>tianbao-yang@uiowa.edu</v>
      </c>
      <c r="Y80" s="15" t="str">
        <f>HYPERLINK("mailto:"&amp;RADataTable[[#This Row],[allPIemail]]&amp;"&amp;subject=NSF Proposal:  "&amp;RADataTable[[#This Row],[Div]]&amp;" "&amp;RADataTable[[#This Row],[prop_id0]], "PIs@")</f>
        <v>PIs@</v>
      </c>
      <c r="Z80" t="s">
        <v>2351</v>
      </c>
      <c r="AA80" t="s">
        <v>1486</v>
      </c>
      <c r="AB80">
        <v>7</v>
      </c>
      <c r="AD80"/>
      <c r="AE80" s="21" t="str">
        <f>IF(RADataTable[[#This Row],[maxScore]]-RADataTable[[#This Row],[minScore]]&gt;4,"Y","")</f>
        <v/>
      </c>
      <c r="AF80" s="21">
        <v>4</v>
      </c>
      <c r="AG80" s="26">
        <v>6</v>
      </c>
      <c r="AH80">
        <v>8</v>
      </c>
      <c r="AI80" t="s">
        <v>2352</v>
      </c>
      <c r="AJ80" s="30">
        <v>43060.395138888889</v>
      </c>
      <c r="AK80" s="13">
        <v>543913</v>
      </c>
      <c r="AL80" s="13">
        <v>543913</v>
      </c>
      <c r="AM80">
        <v>0</v>
      </c>
      <c r="AN80" s="30">
        <v>43252</v>
      </c>
      <c r="AO80" s="21">
        <v>60</v>
      </c>
      <c r="AP80" s="21" t="s">
        <v>2354</v>
      </c>
      <c r="AQ80">
        <v>1</v>
      </c>
      <c r="AR80" t="s">
        <v>2619</v>
      </c>
      <c r="AS80" s="30">
        <v>43032.890972222223</v>
      </c>
      <c r="AT80" t="s">
        <v>1489</v>
      </c>
      <c r="AU80" s="21" t="s">
        <v>249</v>
      </c>
      <c r="AW80" s="21" t="s">
        <v>2620</v>
      </c>
      <c r="AX80" s="30">
        <v>43035</v>
      </c>
      <c r="AY80" s="21" t="s">
        <v>2621</v>
      </c>
      <c r="AZ80" s="21" t="s">
        <v>2622</v>
      </c>
      <c r="BA80" s="21">
        <v>10</v>
      </c>
      <c r="BC80" s="21" t="s">
        <v>619</v>
      </c>
      <c r="BD80" s="21" t="s">
        <v>249</v>
      </c>
      <c r="BE80" s="21">
        <v>11</v>
      </c>
      <c r="BF80" s="21" t="s">
        <v>852</v>
      </c>
      <c r="BG80" s="30">
        <v>43060</v>
      </c>
      <c r="BH80" s="21" t="s">
        <v>2623</v>
      </c>
      <c r="BI80" s="21" t="s">
        <v>854</v>
      </c>
      <c r="BJ80" s="21">
        <v>12</v>
      </c>
      <c r="BP80" s="30"/>
      <c r="BU80" t="s">
        <v>1486</v>
      </c>
      <c r="BV80" s="21" t="s">
        <v>1065</v>
      </c>
      <c r="BW80" s="21" t="s">
        <v>2066</v>
      </c>
      <c r="BX80" s="21" t="s">
        <v>2067</v>
      </c>
      <c r="BY80" s="31">
        <v>543913</v>
      </c>
      <c r="BZ80" s="31">
        <v>543913</v>
      </c>
      <c r="CA80" t="s">
        <v>2350</v>
      </c>
      <c r="CF80" s="31"/>
      <c r="CG80" s="31"/>
      <c r="CM80" s="31"/>
      <c r="CN80" s="31"/>
      <c r="CT80" s="31"/>
      <c r="CU80" s="31"/>
      <c r="CV80" s="31"/>
      <c r="DA80" s="31"/>
      <c r="DB80" s="31"/>
      <c r="DC80" s="31"/>
      <c r="DH80" s="31"/>
      <c r="DI80" s="31"/>
      <c r="DO80" s="31"/>
      <c r="DP80" s="31"/>
      <c r="DR80" t="s">
        <v>246</v>
      </c>
      <c r="DS80" t="s">
        <v>2624</v>
      </c>
      <c r="DT80" t="s">
        <v>904</v>
      </c>
      <c r="DU80" s="29" t="s">
        <v>2625</v>
      </c>
      <c r="DV80" t="s">
        <v>2353</v>
      </c>
      <c r="DW80" t="s">
        <v>366</v>
      </c>
      <c r="DX80" t="s">
        <v>171</v>
      </c>
      <c r="DY80" t="s">
        <v>168</v>
      </c>
      <c r="DZ80" t="s">
        <v>169</v>
      </c>
      <c r="EA80" s="22">
        <v>43077.177256944444</v>
      </c>
      <c r="EB80" t="s">
        <v>2069</v>
      </c>
      <c r="EC80" t="s">
        <v>2541</v>
      </c>
    </row>
    <row r="81" spans="1:133">
      <c r="A81" s="30"/>
      <c r="B81" s="22">
        <v>42935.491666666669</v>
      </c>
      <c r="C81" s="22" t="s">
        <v>242</v>
      </c>
      <c r="D81" s="30" t="s">
        <v>741</v>
      </c>
      <c r="E81" s="30" t="s">
        <v>528</v>
      </c>
      <c r="F81" s="30" t="s">
        <v>170</v>
      </c>
      <c r="G81" s="30" t="s">
        <v>172</v>
      </c>
      <c r="H81" t="s">
        <v>94</v>
      </c>
      <c r="I81" t="s">
        <v>743</v>
      </c>
      <c r="J81" t="s">
        <v>1530</v>
      </c>
      <c r="L81">
        <v>1</v>
      </c>
      <c r="M81" s="26">
        <v>3.11</v>
      </c>
      <c r="N81" t="s">
        <v>248</v>
      </c>
      <c r="Q81" s="29" t="s">
        <v>13</v>
      </c>
      <c r="R81" s="29" t="str">
        <f>IFERROR(MID(RADataTable[[#This Row],[RAtemplate]],1,LEN(RADataTable[[#This Row],[RAtemplate]])-8),"RA") &amp; " " &amp; RADataTable[[#This Row],[prop_id0]] &amp; " " &amp; RADataTable[[#This Row],[last0]]</f>
        <v>RA 1750344 Valiant</v>
      </c>
      <c r="U81" s="21" t="str">
        <f>IF(signer1="PD",IF(ISBLANK(RADataTable[[#This Row],[sign_blck_name]]),"",RADataTable[[#This Row],[sign_blck_name]]),IF(ISBLANK(signer1),"",signer1))</f>
        <v>Rahul Shah</v>
      </c>
      <c r="V81" s="29" t="str">
        <f>signer2</f>
        <v>Cognizant Program Director</v>
      </c>
      <c r="W81" s="15" t="str">
        <f>HYPERLINK("https://www.ejacket.nsf.gov/ej/showProposal.do?Continue=Y&amp;ID="&amp;RADataTable[[#This Row],[prop_id0]],"eJ")</f>
        <v>eJ</v>
      </c>
      <c r="X81" s="15" t="str">
        <f>HYPERLINK("mailto:"&amp;RADataTable[[#This Row],[email]]&amp;"&amp;subject=Your NSF Proposal:  "&amp;RADataTable[[#This Row],[Div]]&amp;" "&amp;RADataTable[[#This Row],[prop_id0]], RADataTable[[#This Row],[email]])</f>
        <v>pvaliant@gmail.com</v>
      </c>
      <c r="Y81" s="15" t="str">
        <f>HYPERLINK("mailto:"&amp;RADataTable[[#This Row],[allPIemail]]&amp;"&amp;subject=NSF Proposal:  "&amp;RADataTable[[#This Row],[Div]]&amp;" "&amp;RADataTable[[#This Row],[prop_id0]], "PIs@")</f>
        <v>PIs@</v>
      </c>
      <c r="Z81" t="s">
        <v>742</v>
      </c>
      <c r="AA81" t="s">
        <v>1647</v>
      </c>
      <c r="AB81">
        <v>4</v>
      </c>
      <c r="AD81"/>
      <c r="AE81" s="21" t="str">
        <f>IF(RADataTable[[#This Row],[maxScore]]-RADataTable[[#This Row],[minScore]]&gt;4,"Y","")</f>
        <v/>
      </c>
      <c r="AF81" s="21">
        <v>4</v>
      </c>
      <c r="AG81" s="26">
        <v>5</v>
      </c>
      <c r="AH81">
        <v>7</v>
      </c>
      <c r="AI81" t="s">
        <v>2396</v>
      </c>
      <c r="AJ81" s="30">
        <v>43059.950694444444</v>
      </c>
      <c r="AK81" s="13">
        <v>666111</v>
      </c>
      <c r="AL81" s="13">
        <v>666111</v>
      </c>
      <c r="AM81">
        <v>0</v>
      </c>
      <c r="AN81" s="30">
        <v>43252</v>
      </c>
      <c r="AO81" s="21">
        <v>60</v>
      </c>
      <c r="AP81" s="21" t="s">
        <v>2397</v>
      </c>
      <c r="AS81" s="30"/>
      <c r="AT81" t="s">
        <v>619</v>
      </c>
      <c r="AU81" s="21" t="s">
        <v>249</v>
      </c>
      <c r="AV81" s="21">
        <v>11</v>
      </c>
      <c r="AW81" s="21" t="s">
        <v>852</v>
      </c>
      <c r="AX81" s="30">
        <v>43060</v>
      </c>
      <c r="AY81" s="21" t="s">
        <v>2649</v>
      </c>
      <c r="AZ81" s="21" t="s">
        <v>854</v>
      </c>
      <c r="BA81" s="21">
        <v>12</v>
      </c>
      <c r="BG81" s="30"/>
      <c r="BP81" s="30"/>
      <c r="BU81" t="s">
        <v>1647</v>
      </c>
      <c r="BV81" s="21" t="s">
        <v>1031</v>
      </c>
      <c r="BW81" s="21" t="s">
        <v>798</v>
      </c>
      <c r="BX81" s="21" t="s">
        <v>2087</v>
      </c>
      <c r="BY81" s="31">
        <v>666111</v>
      </c>
      <c r="BZ81" s="31">
        <v>666111</v>
      </c>
      <c r="CA81" t="s">
        <v>2395</v>
      </c>
      <c r="CF81" s="31"/>
      <c r="CG81" s="31"/>
      <c r="CM81" s="31"/>
      <c r="CN81" s="31"/>
      <c r="CT81" s="31"/>
      <c r="CU81" s="31"/>
      <c r="CV81" s="31"/>
      <c r="DA81" s="31"/>
      <c r="DB81" s="31"/>
      <c r="DC81" s="31"/>
      <c r="DH81" s="31"/>
      <c r="DI81" s="31"/>
      <c r="DO81" s="31"/>
      <c r="DP81" s="31"/>
      <c r="DR81" t="s">
        <v>246</v>
      </c>
      <c r="DS81" t="s">
        <v>837</v>
      </c>
      <c r="DT81" t="s">
        <v>529</v>
      </c>
      <c r="DU81" s="29" t="s">
        <v>2627</v>
      </c>
      <c r="DV81" t="s">
        <v>173</v>
      </c>
      <c r="DW81" t="s">
        <v>366</v>
      </c>
      <c r="DX81" t="s">
        <v>171</v>
      </c>
      <c r="DY81" t="s">
        <v>168</v>
      </c>
      <c r="DZ81" t="s">
        <v>169</v>
      </c>
      <c r="EA81" s="22">
        <v>43077.177256944444</v>
      </c>
      <c r="EB81" t="s">
        <v>2398</v>
      </c>
      <c r="EC81" t="s">
        <v>2650</v>
      </c>
    </row>
    <row r="82" spans="1:133">
      <c r="A82" s="30"/>
      <c r="B82" s="22">
        <v>42935.603472222225</v>
      </c>
      <c r="C82" s="22" t="s">
        <v>242</v>
      </c>
      <c r="D82" s="30" t="s">
        <v>741</v>
      </c>
      <c r="E82" s="30" t="s">
        <v>528</v>
      </c>
      <c r="F82" s="30" t="s">
        <v>170</v>
      </c>
      <c r="G82" s="30" t="s">
        <v>172</v>
      </c>
      <c r="H82" t="s">
        <v>94</v>
      </c>
      <c r="I82" t="s">
        <v>743</v>
      </c>
      <c r="J82" t="s">
        <v>543</v>
      </c>
      <c r="L82">
        <v>1</v>
      </c>
      <c r="M82" s="26">
        <v>3.11</v>
      </c>
      <c r="N82" t="s">
        <v>248</v>
      </c>
      <c r="Q82" s="29" t="s">
        <v>13</v>
      </c>
      <c r="R82" s="29" t="str">
        <f>IFERROR(MID(RADataTable[[#This Row],[RAtemplate]],1,LEN(RADataTable[[#This Row],[RAtemplate]])-8),"RA") &amp; " " &amp; RADataTable[[#This Row],[prop_id0]] &amp; " " &amp; RADataTable[[#This Row],[last0]]</f>
        <v>RA 1750651 Awasthi</v>
      </c>
      <c r="U82" s="21" t="str">
        <f>IF(signer1="PD",IF(ISBLANK(RADataTable[[#This Row],[sign_blck_name]]),"",RADataTable[[#This Row],[sign_blck_name]]),IF(ISBLANK(signer1),"",signer1))</f>
        <v>Tracy J. Kimbrel</v>
      </c>
      <c r="V82" s="29" t="str">
        <f>signer2</f>
        <v>Cognizant Program Director</v>
      </c>
      <c r="W82" s="15" t="str">
        <f>HYPERLINK("https://www.ejacket.nsf.gov/ej/showProposal.do?Continue=Y&amp;ID="&amp;RADataTable[[#This Row],[prop_id0]],"eJ")</f>
        <v>eJ</v>
      </c>
      <c r="X82" s="15" t="str">
        <f>HYPERLINK("mailto:"&amp;RADataTable[[#This Row],[email]]&amp;"&amp;subject=Your NSF Proposal:  "&amp;RADataTable[[#This Row],[Div]]&amp;" "&amp;RADataTable[[#This Row],[prop_id0]], RADataTable[[#This Row],[email]])</f>
        <v>pranjal.iitm@gmail.com</v>
      </c>
      <c r="Y82" s="15" t="str">
        <f>HYPERLINK("mailto:"&amp;RADataTable[[#This Row],[allPIemail]]&amp;"&amp;subject=NSF Proposal:  "&amp;RADataTable[[#This Row],[Div]]&amp;" "&amp;RADataTable[[#This Row],[prop_id0]], "PIs@")</f>
        <v>PIs@</v>
      </c>
      <c r="Z82" t="s">
        <v>742</v>
      </c>
      <c r="AA82" t="s">
        <v>1721</v>
      </c>
      <c r="AB82">
        <v>4</v>
      </c>
      <c r="AC82">
        <v>4</v>
      </c>
      <c r="AD82"/>
      <c r="AE82" s="21" t="str">
        <f>IF(RADataTable[[#This Row],[maxScore]]-RADataTable[[#This Row],[minScore]]&gt;4,"Y","")</f>
        <v/>
      </c>
      <c r="AF82" s="21">
        <v>5</v>
      </c>
      <c r="AG82" s="26">
        <v>5.5</v>
      </c>
      <c r="AH82">
        <v>7</v>
      </c>
      <c r="AI82" t="s">
        <v>2422</v>
      </c>
      <c r="AJ82" s="30">
        <v>43060.010416666664</v>
      </c>
      <c r="AK82" s="13">
        <v>695874</v>
      </c>
      <c r="AL82" s="13">
        <v>695874</v>
      </c>
      <c r="AM82">
        <v>0</v>
      </c>
      <c r="AN82" s="30">
        <v>43101</v>
      </c>
      <c r="AO82" s="21">
        <v>60</v>
      </c>
      <c r="AP82" s="21" t="s">
        <v>2423</v>
      </c>
      <c r="AS82" s="30"/>
      <c r="AT82" t="s">
        <v>619</v>
      </c>
      <c r="AU82" s="21" t="s">
        <v>249</v>
      </c>
      <c r="AV82" s="21">
        <v>11</v>
      </c>
      <c r="AW82" s="21" t="s">
        <v>852</v>
      </c>
      <c r="AX82" s="30">
        <v>43060</v>
      </c>
      <c r="AY82" s="21" t="s">
        <v>2663</v>
      </c>
      <c r="AZ82" s="21" t="s">
        <v>854</v>
      </c>
      <c r="BA82" s="21">
        <v>12</v>
      </c>
      <c r="BB82" s="21">
        <v>1</v>
      </c>
      <c r="BG82" s="30"/>
      <c r="BP82" s="30"/>
      <c r="BU82" t="s">
        <v>1721</v>
      </c>
      <c r="BV82" s="21" t="s">
        <v>1722</v>
      </c>
      <c r="BW82" s="21" t="s">
        <v>2421</v>
      </c>
      <c r="BX82" s="21" t="s">
        <v>2283</v>
      </c>
      <c r="BY82" s="31">
        <v>695874</v>
      </c>
      <c r="BZ82" s="31">
        <v>695874</v>
      </c>
      <c r="CA82" t="s">
        <v>744</v>
      </c>
      <c r="CF82" s="31"/>
      <c r="CG82" s="31"/>
      <c r="CM82" s="31"/>
      <c r="CN82" s="31"/>
      <c r="CT82" s="31"/>
      <c r="CU82" s="31"/>
      <c r="CV82" s="31"/>
      <c r="DA82" s="31"/>
      <c r="DB82" s="31"/>
      <c r="DC82" s="31"/>
      <c r="DH82" s="31"/>
      <c r="DI82" s="31"/>
      <c r="DO82" s="31"/>
      <c r="DP82" s="31"/>
      <c r="DR82" t="s">
        <v>246</v>
      </c>
      <c r="DS82" t="s">
        <v>837</v>
      </c>
      <c r="DT82" t="s">
        <v>529</v>
      </c>
      <c r="DU82" s="29" t="s">
        <v>850</v>
      </c>
      <c r="DV82" t="s">
        <v>173</v>
      </c>
      <c r="DW82" t="s">
        <v>366</v>
      </c>
      <c r="DX82" t="s">
        <v>171</v>
      </c>
      <c r="DY82" t="s">
        <v>168</v>
      </c>
      <c r="DZ82" t="s">
        <v>169</v>
      </c>
      <c r="EA82" s="22">
        <v>43077.177256944444</v>
      </c>
      <c r="EB82" t="s">
        <v>2424</v>
      </c>
      <c r="EC82" t="s">
        <v>2664</v>
      </c>
    </row>
    <row r="83" spans="1:133">
      <c r="A83" s="30"/>
      <c r="B83" s="22">
        <v>42935.680555555555</v>
      </c>
      <c r="C83" s="22" t="s">
        <v>242</v>
      </c>
      <c r="D83" s="30" t="s">
        <v>741</v>
      </c>
      <c r="E83" s="30" t="s">
        <v>528</v>
      </c>
      <c r="F83" s="30" t="s">
        <v>170</v>
      </c>
      <c r="G83" s="30" t="s">
        <v>172</v>
      </c>
      <c r="H83" t="s">
        <v>94</v>
      </c>
      <c r="I83" t="s">
        <v>743</v>
      </c>
      <c r="J83" t="s">
        <v>543</v>
      </c>
      <c r="L83">
        <v>1</v>
      </c>
      <c r="M83" s="26">
        <v>3.11</v>
      </c>
      <c r="N83" t="s">
        <v>248</v>
      </c>
      <c r="Q83" s="29" t="s">
        <v>13</v>
      </c>
      <c r="R83" s="29" t="str">
        <f>IFERROR(MID(RADataTable[[#This Row],[RAtemplate]],1,LEN(RADataTable[[#This Row],[RAtemplate]])-8),"RA") &amp; " " &amp; RADataTable[[#This Row],[prop_id0]] &amp; " " &amp; RADataTable[[#This Row],[last0]]</f>
        <v>RA 1751048 Papakonstantinou</v>
      </c>
      <c r="U83" s="21" t="str">
        <f>IF(signer1="PD",IF(ISBLANK(RADataTable[[#This Row],[sign_blck_name]]),"",RADataTable[[#This Row],[sign_blck_name]]),IF(ISBLANK(signer1),"",signer1))</f>
        <v>Tracy J. Kimbrel</v>
      </c>
      <c r="V83" s="29" t="str">
        <f>signer2</f>
        <v>Cognizant Program Director</v>
      </c>
      <c r="W83" s="15" t="str">
        <f>HYPERLINK("https://www.ejacket.nsf.gov/ej/showProposal.do?Continue=Y&amp;ID="&amp;RADataTable[[#This Row],[prop_id0]],"eJ")</f>
        <v>eJ</v>
      </c>
      <c r="X83" s="15" t="str">
        <f>HYPERLINK("mailto:"&amp;RADataTable[[#This Row],[email]]&amp;"&amp;subject=Your NSF Proposal:  "&amp;RADataTable[[#This Row],[Div]]&amp;" "&amp;RADataTable[[#This Row],[prop_id0]], RADataTable[[#This Row],[email]])</f>
        <v>periklis.research@gmail.com</v>
      </c>
      <c r="Y83" s="15" t="str">
        <f>HYPERLINK("mailto:"&amp;RADataTable[[#This Row],[allPIemail]]&amp;"&amp;subject=NSF Proposal:  "&amp;RADataTable[[#This Row],[Div]]&amp;" "&amp;RADataTable[[#This Row],[prop_id0]], "PIs@")</f>
        <v>PIs@</v>
      </c>
      <c r="Z83" t="s">
        <v>742</v>
      </c>
      <c r="AA83" t="s">
        <v>1772</v>
      </c>
      <c r="AB83">
        <v>4</v>
      </c>
      <c r="AC83">
        <v>4</v>
      </c>
      <c r="AD83"/>
      <c r="AE83" s="21" t="str">
        <f>IF(RADataTable[[#This Row],[maxScore]]-RADataTable[[#This Row],[minScore]]&gt;4,"Y","")</f>
        <v/>
      </c>
      <c r="AF83" s="21">
        <v>3</v>
      </c>
      <c r="AG83" s="26">
        <v>4.5</v>
      </c>
      <c r="AH83">
        <v>6</v>
      </c>
      <c r="AI83" t="s">
        <v>2443</v>
      </c>
      <c r="AJ83" s="30">
        <v>43059.227777777778</v>
      </c>
      <c r="AK83" s="13">
        <v>667571</v>
      </c>
      <c r="AL83" s="13">
        <v>667571</v>
      </c>
      <c r="AM83">
        <v>0</v>
      </c>
      <c r="AN83" s="30">
        <v>43252</v>
      </c>
      <c r="AO83" s="21">
        <v>60</v>
      </c>
      <c r="AP83" s="21" t="s">
        <v>2444</v>
      </c>
      <c r="AS83" s="30"/>
      <c r="AT83" t="s">
        <v>619</v>
      </c>
      <c r="AU83" s="21" t="s">
        <v>249</v>
      </c>
      <c r="AV83" s="21">
        <v>11</v>
      </c>
      <c r="AW83" s="21" t="s">
        <v>852</v>
      </c>
      <c r="AX83" s="30">
        <v>43060</v>
      </c>
      <c r="AY83" s="21" t="s">
        <v>2673</v>
      </c>
      <c r="AZ83" s="21" t="s">
        <v>854</v>
      </c>
      <c r="BA83" s="21">
        <v>12</v>
      </c>
      <c r="BG83" s="30"/>
      <c r="BP83" s="30"/>
      <c r="BU83" t="s">
        <v>1772</v>
      </c>
      <c r="BV83" s="21" t="s">
        <v>1773</v>
      </c>
      <c r="BW83" s="21" t="s">
        <v>2441</v>
      </c>
      <c r="BX83" s="21" t="s">
        <v>2442</v>
      </c>
      <c r="BY83" s="31">
        <v>667571</v>
      </c>
      <c r="BZ83" s="31">
        <v>667571</v>
      </c>
      <c r="CA83" t="s">
        <v>744</v>
      </c>
      <c r="CF83" s="31"/>
      <c r="CG83" s="31"/>
      <c r="CM83" s="31"/>
      <c r="CN83" s="31"/>
      <c r="CT83" s="31"/>
      <c r="CU83" s="31"/>
      <c r="CV83" s="31"/>
      <c r="DA83" s="31"/>
      <c r="DB83" s="31"/>
      <c r="DC83" s="31"/>
      <c r="DH83" s="31"/>
      <c r="DI83" s="31"/>
      <c r="DO83" s="31"/>
      <c r="DP83" s="31"/>
      <c r="DR83" t="s">
        <v>246</v>
      </c>
      <c r="DS83" t="s">
        <v>837</v>
      </c>
      <c r="DT83" t="s">
        <v>529</v>
      </c>
      <c r="DU83" s="29" t="s">
        <v>850</v>
      </c>
      <c r="DV83" t="s">
        <v>173</v>
      </c>
      <c r="DW83" t="s">
        <v>366</v>
      </c>
      <c r="DX83" t="s">
        <v>171</v>
      </c>
      <c r="DY83" t="s">
        <v>168</v>
      </c>
      <c r="DZ83" t="s">
        <v>169</v>
      </c>
      <c r="EA83" s="22">
        <v>43077.177256944444</v>
      </c>
      <c r="EB83" t="s">
        <v>2445</v>
      </c>
      <c r="EC83" t="s">
        <v>2674</v>
      </c>
    </row>
    <row r="84" spans="1:133">
      <c r="A84" s="30"/>
      <c r="B84" s="22">
        <v>42935.68472222222</v>
      </c>
      <c r="C84" s="22" t="s">
        <v>242</v>
      </c>
      <c r="D84" s="30" t="s">
        <v>741</v>
      </c>
      <c r="E84" s="30" t="s">
        <v>528</v>
      </c>
      <c r="F84" s="30" t="s">
        <v>170</v>
      </c>
      <c r="G84" s="30" t="s">
        <v>172</v>
      </c>
      <c r="H84" t="s">
        <v>94</v>
      </c>
      <c r="I84" t="s">
        <v>743</v>
      </c>
      <c r="J84" t="s">
        <v>543</v>
      </c>
      <c r="L84">
        <v>1</v>
      </c>
      <c r="M84" s="26">
        <v>3.11</v>
      </c>
      <c r="N84" t="s">
        <v>248</v>
      </c>
      <c r="Q84" s="29" t="s">
        <v>13</v>
      </c>
      <c r="R84" s="29" t="str">
        <f>IFERROR(MID(RADataTable[[#This Row],[RAtemplate]],1,LEN(RADataTable[[#This Row],[RAtemplate]])-8),"RA") &amp; " " &amp; RADataTable[[#This Row],[prop_id0]] &amp; " " &amp; RADataTable[[#This Row],[last0]]</f>
        <v>RA 1751076 Gkatzelis</v>
      </c>
      <c r="U84" s="21" t="str">
        <f>IF(signer1="PD",IF(ISBLANK(RADataTable[[#This Row],[sign_blck_name]]),"",RADataTable[[#This Row],[sign_blck_name]]),IF(ISBLANK(signer1),"",signer1))</f>
        <v>Tracy J. Kimbrel</v>
      </c>
      <c r="V84" s="29" t="str">
        <f>signer2</f>
        <v>Cognizant Program Director</v>
      </c>
      <c r="W84" s="15" t="str">
        <f>HYPERLINK("https://www.ejacket.nsf.gov/ej/showProposal.do?Continue=Y&amp;ID="&amp;RADataTable[[#This Row],[prop_id0]],"eJ")</f>
        <v>eJ</v>
      </c>
      <c r="X84" s="15" t="str">
        <f>HYPERLINK("mailto:"&amp;RADataTable[[#This Row],[email]]&amp;"&amp;subject=Your NSF Proposal:  "&amp;RADataTable[[#This Row],[Div]]&amp;" "&amp;RADataTable[[#This Row],[prop_id0]], RADataTable[[#This Row],[email]])</f>
        <v>gkatz@drexel.edu</v>
      </c>
      <c r="Y84" s="15" t="str">
        <f>HYPERLINK("mailto:"&amp;RADataTable[[#This Row],[allPIemail]]&amp;"&amp;subject=NSF Proposal:  "&amp;RADataTable[[#This Row],[Div]]&amp;" "&amp;RADataTable[[#This Row],[prop_id0]], "PIs@")</f>
        <v>PIs@</v>
      </c>
      <c r="Z84" t="s">
        <v>742</v>
      </c>
      <c r="AA84" t="s">
        <v>1780</v>
      </c>
      <c r="AB84">
        <v>4</v>
      </c>
      <c r="AC84">
        <v>4</v>
      </c>
      <c r="AD84"/>
      <c r="AE84" s="21" t="str">
        <f>IF(RADataTable[[#This Row],[maxScore]]-RADataTable[[#This Row],[minScore]]&gt;4,"Y","")</f>
        <v/>
      </c>
      <c r="AF84" s="21">
        <v>5</v>
      </c>
      <c r="AG84" s="26">
        <v>6.5</v>
      </c>
      <c r="AH84">
        <v>7</v>
      </c>
      <c r="AI84" t="s">
        <v>338</v>
      </c>
      <c r="AJ84" s="30">
        <v>43059.229166666664</v>
      </c>
      <c r="AK84" s="13">
        <v>559983</v>
      </c>
      <c r="AL84" s="13">
        <v>559983</v>
      </c>
      <c r="AM84">
        <v>0</v>
      </c>
      <c r="AN84" s="30">
        <v>43132</v>
      </c>
      <c r="AO84" s="21">
        <v>60</v>
      </c>
      <c r="AP84" s="21" t="s">
        <v>2448</v>
      </c>
      <c r="AS84" s="30"/>
      <c r="AT84" t="s">
        <v>619</v>
      </c>
      <c r="AU84" s="21" t="s">
        <v>249</v>
      </c>
      <c r="AV84" s="21">
        <v>11</v>
      </c>
      <c r="AW84" s="21" t="s">
        <v>852</v>
      </c>
      <c r="AX84" s="30">
        <v>43060</v>
      </c>
      <c r="AY84" s="21" t="s">
        <v>367</v>
      </c>
      <c r="AZ84" s="21" t="s">
        <v>854</v>
      </c>
      <c r="BA84" s="21">
        <v>12</v>
      </c>
      <c r="BG84" s="30"/>
      <c r="BP84" s="30"/>
      <c r="BU84" t="s">
        <v>1780</v>
      </c>
      <c r="BV84" s="21" t="s">
        <v>1781</v>
      </c>
      <c r="BW84" s="21" t="s">
        <v>2446</v>
      </c>
      <c r="BX84" s="21" t="s">
        <v>2447</v>
      </c>
      <c r="BY84" s="31">
        <v>559983</v>
      </c>
      <c r="BZ84" s="31">
        <v>559983</v>
      </c>
      <c r="CA84" t="s">
        <v>2399</v>
      </c>
      <c r="CF84" s="31"/>
      <c r="CG84" s="31"/>
      <c r="CM84" s="31"/>
      <c r="CN84" s="31"/>
      <c r="CT84" s="31"/>
      <c r="CU84" s="31"/>
      <c r="CV84" s="31"/>
      <c r="DA84" s="31"/>
      <c r="DB84" s="31"/>
      <c r="DC84" s="31"/>
      <c r="DH84" s="31"/>
      <c r="DI84" s="31"/>
      <c r="DO84" s="31"/>
      <c r="DP84" s="31"/>
      <c r="DR84" t="s">
        <v>246</v>
      </c>
      <c r="DS84" t="s">
        <v>837</v>
      </c>
      <c r="DT84" t="s">
        <v>529</v>
      </c>
      <c r="DU84" s="29" t="s">
        <v>850</v>
      </c>
      <c r="DV84" t="s">
        <v>173</v>
      </c>
      <c r="DW84" t="s">
        <v>366</v>
      </c>
      <c r="DX84" t="s">
        <v>171</v>
      </c>
      <c r="DY84" t="s">
        <v>168</v>
      </c>
      <c r="DZ84" t="s">
        <v>169</v>
      </c>
      <c r="EA84" s="22">
        <v>43077.177256944444</v>
      </c>
      <c r="EB84" t="s">
        <v>2449</v>
      </c>
      <c r="EC84" t="s">
        <v>2675</v>
      </c>
    </row>
    <row r="85" spans="1:133">
      <c r="A85" s="30"/>
      <c r="B85" s="22">
        <v>42935.717361111114</v>
      </c>
      <c r="C85" s="22" t="s">
        <v>242</v>
      </c>
      <c r="D85" s="30" t="s">
        <v>741</v>
      </c>
      <c r="E85" s="30" t="s">
        <v>528</v>
      </c>
      <c r="F85" s="30" t="s">
        <v>170</v>
      </c>
      <c r="G85" s="30" t="s">
        <v>172</v>
      </c>
      <c r="H85" t="s">
        <v>94</v>
      </c>
      <c r="I85" t="s">
        <v>743</v>
      </c>
      <c r="J85" t="s">
        <v>543</v>
      </c>
      <c r="L85">
        <v>1</v>
      </c>
      <c r="M85" s="26">
        <v>3.11</v>
      </c>
      <c r="N85" t="s">
        <v>248</v>
      </c>
      <c r="Q85" s="29" t="s">
        <v>13</v>
      </c>
      <c r="R85" s="29" t="str">
        <f>IFERROR(MID(RADataTable[[#This Row],[RAtemplate]],1,LEN(RADataTable[[#This Row],[RAtemplate]])-8),"RA") &amp; " " &amp; RADataTable[[#This Row],[prop_id0]] &amp; " " &amp; RADataTable[[#This Row],[last0]]</f>
        <v>RA 1751234 Bhaskara</v>
      </c>
      <c r="U85" s="21" t="str">
        <f>IF(signer1="PD",IF(ISBLANK(RADataTable[[#This Row],[sign_blck_name]]),"",RADataTable[[#This Row],[sign_blck_name]]),IF(ISBLANK(signer1),"",signer1))</f>
        <v>Tracy J. Kimbrel</v>
      </c>
      <c r="V85" s="29" t="str">
        <f>signer2</f>
        <v>Cognizant Program Director</v>
      </c>
      <c r="W85" s="15" t="str">
        <f>HYPERLINK("https://www.ejacket.nsf.gov/ej/showProposal.do?Continue=Y&amp;ID="&amp;RADataTable[[#This Row],[prop_id0]],"eJ")</f>
        <v>eJ</v>
      </c>
      <c r="X85" s="15" t="str">
        <f>HYPERLINK("mailto:"&amp;RADataTable[[#This Row],[email]]&amp;"&amp;subject=Your NSF Proposal:  "&amp;RADataTable[[#This Row],[Div]]&amp;" "&amp;RADataTable[[#This Row],[prop_id0]], RADataTable[[#This Row],[email]])</f>
        <v>bhaskara@cs.utah.edu</v>
      </c>
      <c r="Y85" s="15" t="str">
        <f>HYPERLINK("mailto:"&amp;RADataTable[[#This Row],[allPIemail]]&amp;"&amp;subject=NSF Proposal:  "&amp;RADataTable[[#This Row],[Div]]&amp;" "&amp;RADataTable[[#This Row],[prop_id0]], "PIs@")</f>
        <v>PIs@</v>
      </c>
      <c r="Z85" t="s">
        <v>742</v>
      </c>
      <c r="AA85" t="s">
        <v>1796</v>
      </c>
      <c r="AB85">
        <v>4</v>
      </c>
      <c r="AC85">
        <v>4</v>
      </c>
      <c r="AD85"/>
      <c r="AE85" s="21" t="str">
        <f>IF(RADataTable[[#This Row],[maxScore]]-RADataTable[[#This Row],[minScore]]&gt;4,"Y","")</f>
        <v/>
      </c>
      <c r="AF85" s="21">
        <v>5</v>
      </c>
      <c r="AG85" s="26">
        <v>6.5</v>
      </c>
      <c r="AH85">
        <v>7</v>
      </c>
      <c r="AI85" t="s">
        <v>338</v>
      </c>
      <c r="AJ85" s="30">
        <v>43058.995833333334</v>
      </c>
      <c r="AK85" s="13">
        <v>536841</v>
      </c>
      <c r="AL85" s="13">
        <v>536841</v>
      </c>
      <c r="AM85">
        <v>0</v>
      </c>
      <c r="AN85" s="30">
        <v>43313</v>
      </c>
      <c r="AO85" s="21">
        <v>60</v>
      </c>
      <c r="AP85" s="21" t="s">
        <v>2457</v>
      </c>
      <c r="AS85" s="30"/>
      <c r="AT85" t="s">
        <v>619</v>
      </c>
      <c r="AU85" s="21" t="s">
        <v>249</v>
      </c>
      <c r="AV85" s="21">
        <v>11</v>
      </c>
      <c r="AW85" s="21" t="s">
        <v>852</v>
      </c>
      <c r="AX85" s="30">
        <v>43060</v>
      </c>
      <c r="AY85" s="21" t="s">
        <v>367</v>
      </c>
      <c r="AZ85" s="21" t="s">
        <v>854</v>
      </c>
      <c r="BA85" s="21">
        <v>12</v>
      </c>
      <c r="BG85" s="30"/>
      <c r="BP85" s="30"/>
      <c r="BU85" t="s">
        <v>1796</v>
      </c>
      <c r="BV85" s="21" t="s">
        <v>1797</v>
      </c>
      <c r="BW85" s="21" t="s">
        <v>2456</v>
      </c>
      <c r="BX85" s="21" t="s">
        <v>2193</v>
      </c>
      <c r="BY85" s="31">
        <v>536841</v>
      </c>
      <c r="BZ85" s="31">
        <v>536841</v>
      </c>
      <c r="CA85" t="s">
        <v>2365</v>
      </c>
      <c r="CF85" s="31"/>
      <c r="CG85" s="31"/>
      <c r="CM85" s="31"/>
      <c r="CN85" s="31"/>
      <c r="CT85" s="31"/>
      <c r="CU85" s="31"/>
      <c r="CV85" s="31"/>
      <c r="DA85" s="31"/>
      <c r="DB85" s="31"/>
      <c r="DC85" s="31"/>
      <c r="DH85" s="31"/>
      <c r="DI85" s="31"/>
      <c r="DO85" s="31"/>
      <c r="DP85" s="31"/>
      <c r="DR85" t="s">
        <v>246</v>
      </c>
      <c r="DS85" t="s">
        <v>837</v>
      </c>
      <c r="DT85" t="s">
        <v>529</v>
      </c>
      <c r="DU85" s="29" t="s">
        <v>850</v>
      </c>
      <c r="DV85" t="s">
        <v>173</v>
      </c>
      <c r="DW85" t="s">
        <v>366</v>
      </c>
      <c r="DX85" t="s">
        <v>171</v>
      </c>
      <c r="DY85" t="s">
        <v>168</v>
      </c>
      <c r="DZ85" t="s">
        <v>169</v>
      </c>
      <c r="EA85" s="22">
        <v>43077.177256944444</v>
      </c>
      <c r="EB85" t="s">
        <v>2458</v>
      </c>
      <c r="EC85" t="s">
        <v>2678</v>
      </c>
    </row>
    <row r="86" spans="1:133">
      <c r="A86" s="30"/>
      <c r="B86" s="22">
        <v>42933.547222222223</v>
      </c>
      <c r="C86" s="22" t="s">
        <v>242</v>
      </c>
      <c r="D86" s="30" t="s">
        <v>741</v>
      </c>
      <c r="E86" s="30" t="s">
        <v>528</v>
      </c>
      <c r="F86" s="30" t="s">
        <v>170</v>
      </c>
      <c r="G86" s="30" t="s">
        <v>172</v>
      </c>
      <c r="H86" t="s">
        <v>94</v>
      </c>
      <c r="I86" t="s">
        <v>743</v>
      </c>
      <c r="J86" t="s">
        <v>540</v>
      </c>
      <c r="L86">
        <v>1</v>
      </c>
      <c r="M86" s="26">
        <v>3.13</v>
      </c>
      <c r="N86" t="s">
        <v>248</v>
      </c>
      <c r="Q86" s="29" t="s">
        <v>13</v>
      </c>
      <c r="R86" s="29" t="str">
        <f>IFERROR(MID(RADataTable[[#This Row],[RAtemplate]],1,LEN(RADataTable[[#This Row],[RAtemplate]])-8),"RA") &amp; " " &amp; RADataTable[[#This Row],[prop_id0]] &amp; " " &amp; RADataTable[[#This Row],[last0]]</f>
        <v>RA 1749385 Wang</v>
      </c>
      <c r="U86" s="21" t="str">
        <f>IF(signer1="PD",IF(ISBLANK(RADataTable[[#This Row],[sign_blck_name]]),"",RADataTable[[#This Row],[sign_blck_name]]),IF(ISBLANK(signer1),"",signer1))</f>
        <v>Jack Snoeyink</v>
      </c>
      <c r="V86" s="29" t="str">
        <f>signer2</f>
        <v>Cognizant Program Director</v>
      </c>
      <c r="W86" s="15" t="str">
        <f>HYPERLINK("https://www.ejacket.nsf.gov/ej/showProposal.do?Continue=Y&amp;ID="&amp;RADataTable[[#This Row],[prop_id0]],"eJ")</f>
        <v>eJ</v>
      </c>
      <c r="X86" s="15" t="str">
        <f>HYPERLINK("mailto:"&amp;RADataTable[[#This Row],[email]]&amp;"&amp;subject=Your NSF Proposal:  "&amp;RADataTable[[#This Row],[Div]]&amp;" "&amp;RADataTable[[#This Row],[prop_id0]], RADataTable[[#This Row],[email]])</f>
        <v>haitao.wang@usu.edu</v>
      </c>
      <c r="Y86" s="15" t="str">
        <f>HYPERLINK("mailto:"&amp;RADataTable[[#This Row],[allPIemail]]&amp;"&amp;subject=NSF Proposal:  "&amp;RADataTable[[#This Row],[Div]]&amp;" "&amp;RADataTable[[#This Row],[prop_id0]], "PIs@")</f>
        <v>PIs@</v>
      </c>
      <c r="Z86" t="s">
        <v>742</v>
      </c>
      <c r="AA86" t="s">
        <v>565</v>
      </c>
      <c r="AB86">
        <v>4</v>
      </c>
      <c r="AC86">
        <v>4</v>
      </c>
      <c r="AD86"/>
      <c r="AE86" s="21" t="str">
        <f>IF(RADataTable[[#This Row],[maxScore]]-RADataTable[[#This Row],[minScore]]&gt;4,"Y","")</f>
        <v>Y</v>
      </c>
      <c r="AF86" s="21">
        <v>4</v>
      </c>
      <c r="AG86" s="26">
        <v>6.25</v>
      </c>
      <c r="AH86">
        <v>9</v>
      </c>
      <c r="AI86" t="s">
        <v>754</v>
      </c>
      <c r="AJ86" s="30">
        <v>43030.179166666669</v>
      </c>
      <c r="AK86" s="13">
        <v>524898</v>
      </c>
      <c r="AL86" s="13">
        <v>524898</v>
      </c>
      <c r="AM86">
        <v>0</v>
      </c>
      <c r="AN86" s="30">
        <v>43221</v>
      </c>
      <c r="AO86" s="21">
        <v>60</v>
      </c>
      <c r="AP86" s="21" t="s">
        <v>755</v>
      </c>
      <c r="AS86" s="30"/>
      <c r="AT86" t="s">
        <v>544</v>
      </c>
      <c r="AU86" s="21" t="s">
        <v>249</v>
      </c>
      <c r="AV86" s="21">
        <v>13</v>
      </c>
      <c r="AW86" s="21" t="s">
        <v>839</v>
      </c>
      <c r="AX86" s="30">
        <v>43032</v>
      </c>
      <c r="AY86" s="21" t="s">
        <v>843</v>
      </c>
      <c r="AZ86" s="21" t="s">
        <v>841</v>
      </c>
      <c r="BA86" s="21">
        <v>14</v>
      </c>
      <c r="BG86" s="30"/>
      <c r="BP86" s="30"/>
      <c r="BU86" t="s">
        <v>565</v>
      </c>
      <c r="BV86" s="21" t="s">
        <v>336</v>
      </c>
      <c r="BW86" s="21" t="s">
        <v>752</v>
      </c>
      <c r="BX86" s="21" t="s">
        <v>753</v>
      </c>
      <c r="BY86" s="31">
        <v>524898</v>
      </c>
      <c r="BZ86" s="31">
        <v>524898</v>
      </c>
      <c r="CA86" t="s">
        <v>751</v>
      </c>
      <c r="CF86" s="31"/>
      <c r="CG86" s="31"/>
      <c r="CM86" s="31"/>
      <c r="CN86" s="31"/>
      <c r="CT86" s="31"/>
      <c r="CU86" s="31"/>
      <c r="CV86" s="31"/>
      <c r="DA86" s="31"/>
      <c r="DB86" s="31"/>
      <c r="DC86" s="31"/>
      <c r="DH86" s="31"/>
      <c r="DI86" s="31"/>
      <c r="DO86" s="31"/>
      <c r="DP86" s="31"/>
      <c r="DR86" t="s">
        <v>246</v>
      </c>
      <c r="DS86" t="s">
        <v>837</v>
      </c>
      <c r="DT86" t="s">
        <v>529</v>
      </c>
      <c r="DU86" s="29" t="s">
        <v>838</v>
      </c>
      <c r="DV86" t="s">
        <v>173</v>
      </c>
      <c r="DW86" t="s">
        <v>366</v>
      </c>
      <c r="DX86" t="s">
        <v>171</v>
      </c>
      <c r="DY86" t="s">
        <v>168</v>
      </c>
      <c r="DZ86" t="s">
        <v>169</v>
      </c>
      <c r="EA86" s="22">
        <v>43077.177256944444</v>
      </c>
      <c r="EB86" t="s">
        <v>756</v>
      </c>
      <c r="EC86" t="s">
        <v>844</v>
      </c>
    </row>
    <row r="87" spans="1:133">
      <c r="A87" s="30"/>
      <c r="B87" s="22">
        <v>42933.579861111109</v>
      </c>
      <c r="C87" s="22" t="s">
        <v>242</v>
      </c>
      <c r="D87" s="30" t="s">
        <v>741</v>
      </c>
      <c r="E87" s="30" t="s">
        <v>528</v>
      </c>
      <c r="F87" s="30" t="s">
        <v>170</v>
      </c>
      <c r="G87" s="30" t="s">
        <v>172</v>
      </c>
      <c r="H87" t="s">
        <v>94</v>
      </c>
      <c r="I87" t="s">
        <v>743</v>
      </c>
      <c r="J87" t="s">
        <v>1530</v>
      </c>
      <c r="L87">
        <v>1</v>
      </c>
      <c r="M87" s="26">
        <v>3.13</v>
      </c>
      <c r="N87" t="s">
        <v>248</v>
      </c>
      <c r="Q87" s="29" t="s">
        <v>13</v>
      </c>
      <c r="R87" s="29" t="str">
        <f>IFERROR(MID(RADataTable[[#This Row],[RAtemplate]],1,LEN(RADataTable[[#This Row],[RAtemplate]])-8),"RA") &amp; " " &amp; RADataTable[[#This Row],[prop_id0]] &amp; " " &amp; RADataTable[[#This Row],[last0]]</f>
        <v>RA 1749414 Moseley</v>
      </c>
      <c r="U87" s="21" t="str">
        <f>IF(signer1="PD",IF(ISBLANK(RADataTable[[#This Row],[sign_blck_name]]),"",RADataTable[[#This Row],[sign_blck_name]]),IF(ISBLANK(signer1),"",signer1))</f>
        <v>Rahul Shah</v>
      </c>
      <c r="V87" s="29" t="str">
        <f>signer2</f>
        <v>Cognizant Program Director</v>
      </c>
      <c r="W87" s="15" t="str">
        <f>HYPERLINK("https://www.ejacket.nsf.gov/ej/showProposal.do?Continue=Y&amp;ID="&amp;RADataTable[[#This Row],[prop_id0]],"eJ")</f>
        <v>eJ</v>
      </c>
      <c r="X87" s="15" t="str">
        <f>HYPERLINK("mailto:"&amp;RADataTable[[#This Row],[email]]&amp;"&amp;subject=Your NSF Proposal:  "&amp;RADataTable[[#This Row],[Div]]&amp;" "&amp;RADataTable[[#This Row],[prop_id0]], RADataTable[[#This Row],[email]])</f>
        <v>bmoseley@seas.wustl.edu</v>
      </c>
      <c r="Y87" s="15" t="str">
        <f>HYPERLINK("mailto:"&amp;RADataTable[[#This Row],[allPIemail]]&amp;"&amp;subject=NSF Proposal:  "&amp;RADataTable[[#This Row],[Div]]&amp;" "&amp;RADataTable[[#This Row],[prop_id0]], "PIs@")</f>
        <v>PIs@</v>
      </c>
      <c r="Z87" t="s">
        <v>742</v>
      </c>
      <c r="AA87" t="s">
        <v>1522</v>
      </c>
      <c r="AB87">
        <v>5</v>
      </c>
      <c r="AC87">
        <v>5</v>
      </c>
      <c r="AD87"/>
      <c r="AE87" s="21" t="str">
        <f>IF(RADataTable[[#This Row],[maxScore]]-RADataTable[[#This Row],[minScore]]&gt;4,"Y","")</f>
        <v/>
      </c>
      <c r="AF87" s="21">
        <v>5</v>
      </c>
      <c r="AG87" s="26">
        <v>6.8</v>
      </c>
      <c r="AH87">
        <v>9</v>
      </c>
      <c r="AI87" t="s">
        <v>2355</v>
      </c>
      <c r="AJ87" s="30">
        <v>43032.510416666664</v>
      </c>
      <c r="AK87" s="13">
        <v>545000</v>
      </c>
      <c r="AL87" s="13">
        <v>545000</v>
      </c>
      <c r="AM87">
        <v>0</v>
      </c>
      <c r="AN87" s="30">
        <v>43282</v>
      </c>
      <c r="AO87" s="21">
        <v>60</v>
      </c>
      <c r="AP87" s="21" t="s">
        <v>2356</v>
      </c>
      <c r="AS87" s="30"/>
      <c r="AT87" t="s">
        <v>544</v>
      </c>
      <c r="AU87" s="21" t="s">
        <v>249</v>
      </c>
      <c r="AV87" s="21">
        <v>13</v>
      </c>
      <c r="AW87" s="21" t="s">
        <v>839</v>
      </c>
      <c r="AX87" s="30">
        <v>43032</v>
      </c>
      <c r="AY87" s="21" t="s">
        <v>2626</v>
      </c>
      <c r="AZ87" s="21" t="s">
        <v>841</v>
      </c>
      <c r="BA87" s="21">
        <v>14</v>
      </c>
      <c r="BB87" s="21">
        <v>1</v>
      </c>
      <c r="BG87" s="30"/>
      <c r="BP87" s="30"/>
      <c r="BU87" t="s">
        <v>1522</v>
      </c>
      <c r="BV87" s="21" t="s">
        <v>1523</v>
      </c>
      <c r="BW87" s="21" t="s">
        <v>789</v>
      </c>
      <c r="BX87" s="21" t="s">
        <v>2127</v>
      </c>
      <c r="BY87" s="31">
        <v>545000</v>
      </c>
      <c r="BZ87" s="31">
        <v>545000</v>
      </c>
      <c r="CA87" t="s">
        <v>779</v>
      </c>
      <c r="CF87" s="31"/>
      <c r="CG87" s="31"/>
      <c r="CM87" s="31"/>
      <c r="CN87" s="31"/>
      <c r="CT87" s="31"/>
      <c r="CU87" s="31"/>
      <c r="CV87" s="31"/>
      <c r="DA87" s="31"/>
      <c r="DB87" s="31"/>
      <c r="DC87" s="31"/>
      <c r="DH87" s="31"/>
      <c r="DI87" s="31"/>
      <c r="DO87" s="31"/>
      <c r="DP87" s="31"/>
      <c r="DR87" t="s">
        <v>246</v>
      </c>
      <c r="DS87" t="s">
        <v>837</v>
      </c>
      <c r="DT87" t="s">
        <v>529</v>
      </c>
      <c r="DU87" s="29" t="s">
        <v>2627</v>
      </c>
      <c r="DV87" t="s">
        <v>173</v>
      </c>
      <c r="DW87" t="s">
        <v>366</v>
      </c>
      <c r="DX87" t="s">
        <v>171</v>
      </c>
      <c r="DY87" t="s">
        <v>168</v>
      </c>
      <c r="DZ87" t="s">
        <v>169</v>
      </c>
      <c r="EA87" s="22">
        <v>43077.177256944444</v>
      </c>
      <c r="EB87" t="s">
        <v>2357</v>
      </c>
      <c r="EC87" t="s">
        <v>2628</v>
      </c>
    </row>
    <row r="88" spans="1:133">
      <c r="A88" s="30"/>
      <c r="B88" s="22">
        <v>42934.695138888892</v>
      </c>
      <c r="C88" s="22" t="s">
        <v>242</v>
      </c>
      <c r="D88" s="30" t="s">
        <v>741</v>
      </c>
      <c r="E88" s="30" t="s">
        <v>528</v>
      </c>
      <c r="F88" s="30" t="s">
        <v>170</v>
      </c>
      <c r="G88" s="30" t="s">
        <v>172</v>
      </c>
      <c r="H88" t="s">
        <v>94</v>
      </c>
      <c r="I88" t="s">
        <v>743</v>
      </c>
      <c r="J88" t="s">
        <v>540</v>
      </c>
      <c r="L88">
        <v>1</v>
      </c>
      <c r="M88" s="26">
        <v>3.13</v>
      </c>
      <c r="N88" t="s">
        <v>248</v>
      </c>
      <c r="Q88" s="29" t="s">
        <v>13</v>
      </c>
      <c r="R88" s="29" t="str">
        <f>IFERROR(MID(RADataTable[[#This Row],[RAtemplate]],1,LEN(RADataTable[[#This Row],[RAtemplate]])-8),"RA") &amp; " " &amp; RADataTable[[#This Row],[prop_id0]] &amp; " " &amp; RADataTable[[#This Row],[last0]]</f>
        <v>RA 1749977 Solomon</v>
      </c>
      <c r="U88" s="21" t="str">
        <f>IF(signer1="PD",IF(ISBLANK(RADataTable[[#This Row],[sign_blck_name]]),"",RADataTable[[#This Row],[sign_blck_name]]),IF(ISBLANK(signer1),"",signer1))</f>
        <v>Jack Snoeyink</v>
      </c>
      <c r="V88" s="29" t="str">
        <f>signer2</f>
        <v>Cognizant Program Director</v>
      </c>
      <c r="W88" s="15" t="str">
        <f>HYPERLINK("https://www.ejacket.nsf.gov/ej/showProposal.do?Continue=Y&amp;ID="&amp;RADataTable[[#This Row],[prop_id0]],"eJ")</f>
        <v>eJ</v>
      </c>
      <c r="X88" s="15" t="str">
        <f>HYPERLINK("mailto:"&amp;RADataTable[[#This Row],[email]]&amp;"&amp;subject=Your NSF Proposal:  "&amp;RADataTable[[#This Row],[Div]]&amp;" "&amp;RADataTable[[#This Row],[prop_id0]], RADataTable[[#This Row],[email]])</f>
        <v>jsolomon@mit.edu</v>
      </c>
      <c r="Y88" s="15" t="str">
        <f>HYPERLINK("mailto:"&amp;RADataTable[[#This Row],[allPIemail]]&amp;"&amp;subject=NSF Proposal:  "&amp;RADataTable[[#This Row],[Div]]&amp;" "&amp;RADataTable[[#This Row],[prop_id0]], "PIs@")</f>
        <v>PIs@</v>
      </c>
      <c r="Z88" t="s">
        <v>742</v>
      </c>
      <c r="AA88" t="s">
        <v>639</v>
      </c>
      <c r="AB88">
        <v>4</v>
      </c>
      <c r="AC88">
        <v>4</v>
      </c>
      <c r="AD88"/>
      <c r="AE88" s="21" t="str">
        <f>IF(RADataTable[[#This Row],[maxScore]]-RADataTable[[#This Row],[minScore]]&gt;4,"Y","")</f>
        <v>Y</v>
      </c>
      <c r="AF88" s="21">
        <v>3</v>
      </c>
      <c r="AG88" s="26">
        <v>6.25</v>
      </c>
      <c r="AH88">
        <v>9</v>
      </c>
      <c r="AI88" t="s">
        <v>776</v>
      </c>
      <c r="AJ88" s="30">
        <v>43030.972222222219</v>
      </c>
      <c r="AK88" s="13">
        <v>550000</v>
      </c>
      <c r="AL88" s="13">
        <v>550000</v>
      </c>
      <c r="AM88">
        <v>0</v>
      </c>
      <c r="AN88" s="30">
        <v>43101</v>
      </c>
      <c r="AO88" s="21">
        <v>60</v>
      </c>
      <c r="AP88" s="21" t="s">
        <v>777</v>
      </c>
      <c r="AS88" s="30"/>
      <c r="AT88" t="s">
        <v>544</v>
      </c>
      <c r="AU88" s="21" t="s">
        <v>249</v>
      </c>
      <c r="AV88" s="21">
        <v>13</v>
      </c>
      <c r="AW88" s="21" t="s">
        <v>839</v>
      </c>
      <c r="AX88" s="30">
        <v>43032</v>
      </c>
      <c r="AY88" s="21" t="s">
        <v>856</v>
      </c>
      <c r="AZ88" s="21" t="s">
        <v>841</v>
      </c>
      <c r="BA88" s="21">
        <v>14</v>
      </c>
      <c r="BB88" s="21">
        <v>2</v>
      </c>
      <c r="BG88" s="30"/>
      <c r="BP88" s="30"/>
      <c r="BU88" t="s">
        <v>639</v>
      </c>
      <c r="BV88" s="21" t="s">
        <v>640</v>
      </c>
      <c r="BW88" s="21" t="s">
        <v>774</v>
      </c>
      <c r="BX88" s="21" t="s">
        <v>775</v>
      </c>
      <c r="BY88" s="31">
        <v>550000</v>
      </c>
      <c r="BZ88" s="31">
        <v>550000</v>
      </c>
      <c r="CA88" t="s">
        <v>751</v>
      </c>
      <c r="CF88" s="31"/>
      <c r="CG88" s="31"/>
      <c r="CM88" s="31"/>
      <c r="CN88" s="31"/>
      <c r="CT88" s="31"/>
      <c r="CU88" s="31"/>
      <c r="CV88" s="31"/>
      <c r="DA88" s="31"/>
      <c r="DB88" s="31"/>
      <c r="DC88" s="31"/>
      <c r="DH88" s="31"/>
      <c r="DI88" s="31"/>
      <c r="DO88" s="31"/>
      <c r="DP88" s="31"/>
      <c r="DR88" t="s">
        <v>246</v>
      </c>
      <c r="DS88" t="s">
        <v>837</v>
      </c>
      <c r="DT88" t="s">
        <v>529</v>
      </c>
      <c r="DU88" s="29" t="s">
        <v>838</v>
      </c>
      <c r="DV88" t="s">
        <v>173</v>
      </c>
      <c r="DW88" t="s">
        <v>366</v>
      </c>
      <c r="DX88" t="s">
        <v>171</v>
      </c>
      <c r="DY88" t="s">
        <v>168</v>
      </c>
      <c r="DZ88" t="s">
        <v>169</v>
      </c>
      <c r="EA88" s="22">
        <v>43077.177256944444</v>
      </c>
      <c r="EB88" t="s">
        <v>778</v>
      </c>
      <c r="EC88" t="s">
        <v>857</v>
      </c>
    </row>
    <row r="89" spans="1:133">
      <c r="A89" s="30"/>
      <c r="B89" s="22">
        <v>42934.737500000003</v>
      </c>
      <c r="C89" s="22" t="s">
        <v>242</v>
      </c>
      <c r="D89" s="30" t="s">
        <v>741</v>
      </c>
      <c r="E89" s="30" t="s">
        <v>528</v>
      </c>
      <c r="F89" s="30" t="s">
        <v>170</v>
      </c>
      <c r="G89" s="30" t="s">
        <v>172</v>
      </c>
      <c r="H89" t="s">
        <v>94</v>
      </c>
      <c r="I89" t="s">
        <v>743</v>
      </c>
      <c r="J89" t="s">
        <v>543</v>
      </c>
      <c r="L89">
        <v>1</v>
      </c>
      <c r="M89" s="26">
        <v>3.13</v>
      </c>
      <c r="N89" t="s">
        <v>248</v>
      </c>
      <c r="Q89" s="29" t="s">
        <v>13</v>
      </c>
      <c r="R89" s="29" t="str">
        <f>IFERROR(MID(RADataTable[[#This Row],[RAtemplate]],1,LEN(RADataTable[[#This Row],[RAtemplate]])-8),"RA") &amp; " " &amp; RADataTable[[#This Row],[prop_id0]] &amp; " " &amp; RADataTable[[#This Row],[last0]]</f>
        <v>RA 1750039 Solomonik</v>
      </c>
      <c r="U89" s="21" t="str">
        <f>IF(signer1="PD",IF(ISBLANK(RADataTable[[#This Row],[sign_blck_name]]),"",RADataTable[[#This Row],[sign_blck_name]]),IF(ISBLANK(signer1),"",signer1))</f>
        <v>Tracy J. Kimbrel</v>
      </c>
      <c r="V89" s="29" t="str">
        <f>signer2</f>
        <v>Cognizant Program Director</v>
      </c>
      <c r="W89" s="15" t="str">
        <f>HYPERLINK("https://www.ejacket.nsf.gov/ej/showProposal.do?Continue=Y&amp;ID="&amp;RADataTable[[#This Row],[prop_id0]],"eJ")</f>
        <v>eJ</v>
      </c>
      <c r="X89" s="15" t="str">
        <f>HYPERLINK("mailto:"&amp;RADataTable[[#This Row],[email]]&amp;"&amp;subject=Your NSF Proposal:  "&amp;RADataTable[[#This Row],[Div]]&amp;" "&amp;RADataTable[[#This Row],[prop_id0]], RADataTable[[#This Row],[email]])</f>
        <v>solomon2@illinois.edu</v>
      </c>
      <c r="Y89" s="15" t="str">
        <f>HYPERLINK("mailto:"&amp;RADataTable[[#This Row],[allPIemail]]&amp;"&amp;subject=NSF Proposal:  "&amp;RADataTable[[#This Row],[Div]]&amp;" "&amp;RADataTable[[#This Row],[prop_id0]], "PIs@")</f>
        <v>PIs@</v>
      </c>
      <c r="Z89" t="s">
        <v>742</v>
      </c>
      <c r="AA89" t="s">
        <v>647</v>
      </c>
      <c r="AB89">
        <v>4</v>
      </c>
      <c r="AC89">
        <v>4</v>
      </c>
      <c r="AD89"/>
      <c r="AE89" s="21" t="str">
        <f>IF(RADataTable[[#This Row],[maxScore]]-RADataTable[[#This Row],[minScore]]&gt;4,"Y","")</f>
        <v/>
      </c>
      <c r="AF89" s="21">
        <v>3</v>
      </c>
      <c r="AG89" s="26">
        <v>4.5</v>
      </c>
      <c r="AH89">
        <v>5</v>
      </c>
      <c r="AI89" t="s">
        <v>781</v>
      </c>
      <c r="AJ89" s="30">
        <v>43031.922222222223</v>
      </c>
      <c r="AK89" s="13">
        <v>524117</v>
      </c>
      <c r="AL89" s="13">
        <v>524117</v>
      </c>
      <c r="AM89">
        <v>0</v>
      </c>
      <c r="AN89" s="30">
        <v>43132</v>
      </c>
      <c r="AO89" s="21">
        <v>60</v>
      </c>
      <c r="AP89" s="21" t="s">
        <v>782</v>
      </c>
      <c r="AS89" s="30"/>
      <c r="AT89" t="s">
        <v>544</v>
      </c>
      <c r="AU89" s="21" t="s">
        <v>249</v>
      </c>
      <c r="AV89" s="21">
        <v>13</v>
      </c>
      <c r="AW89" s="21" t="s">
        <v>839</v>
      </c>
      <c r="AX89" s="30">
        <v>43032</v>
      </c>
      <c r="AY89" s="21" t="s">
        <v>858</v>
      </c>
      <c r="AZ89" s="21" t="s">
        <v>841</v>
      </c>
      <c r="BA89" s="21">
        <v>14</v>
      </c>
      <c r="BB89" s="21">
        <v>2</v>
      </c>
      <c r="BG89" s="30"/>
      <c r="BP89" s="30"/>
      <c r="BU89" t="s">
        <v>647</v>
      </c>
      <c r="BV89" s="21" t="s">
        <v>648</v>
      </c>
      <c r="BW89" s="21" t="s">
        <v>780</v>
      </c>
      <c r="BX89" s="21" t="s">
        <v>339</v>
      </c>
      <c r="BY89" s="31">
        <v>524117</v>
      </c>
      <c r="BZ89" s="31">
        <v>524117</v>
      </c>
      <c r="CA89" t="s">
        <v>779</v>
      </c>
      <c r="CF89" s="31"/>
      <c r="CG89" s="31"/>
      <c r="CM89" s="31"/>
      <c r="CN89" s="31"/>
      <c r="CT89" s="31"/>
      <c r="CU89" s="31"/>
      <c r="CV89" s="31"/>
      <c r="DA89" s="31"/>
      <c r="DB89" s="31"/>
      <c r="DC89" s="31"/>
      <c r="DH89" s="31"/>
      <c r="DI89" s="31"/>
      <c r="DO89" s="31"/>
      <c r="DP89" s="31"/>
      <c r="DR89" t="s">
        <v>246</v>
      </c>
      <c r="DS89" t="s">
        <v>837</v>
      </c>
      <c r="DT89" t="s">
        <v>529</v>
      </c>
      <c r="DU89" s="29" t="s">
        <v>850</v>
      </c>
      <c r="DV89" t="s">
        <v>173</v>
      </c>
      <c r="DW89" t="s">
        <v>366</v>
      </c>
      <c r="DX89" t="s">
        <v>171</v>
      </c>
      <c r="DY89" t="s">
        <v>168</v>
      </c>
      <c r="DZ89" t="s">
        <v>169</v>
      </c>
      <c r="EA89" s="22">
        <v>43077.177256944444</v>
      </c>
      <c r="EB89" t="s">
        <v>783</v>
      </c>
      <c r="EC89" t="s">
        <v>859</v>
      </c>
    </row>
    <row r="90" spans="1:133">
      <c r="A90" s="30"/>
      <c r="B90" s="22">
        <v>42935.359027777777</v>
      </c>
      <c r="C90" s="22" t="s">
        <v>242</v>
      </c>
      <c r="D90" s="30" t="s">
        <v>741</v>
      </c>
      <c r="E90" s="30" t="s">
        <v>528</v>
      </c>
      <c r="F90" s="30" t="s">
        <v>170</v>
      </c>
      <c r="G90" s="30" t="s">
        <v>172</v>
      </c>
      <c r="H90" t="s">
        <v>94</v>
      </c>
      <c r="I90" t="s">
        <v>743</v>
      </c>
      <c r="J90" t="s">
        <v>1530</v>
      </c>
      <c r="L90">
        <v>1</v>
      </c>
      <c r="M90" s="26">
        <v>3.13</v>
      </c>
      <c r="N90" t="s">
        <v>248</v>
      </c>
      <c r="Q90" s="29" t="s">
        <v>13</v>
      </c>
      <c r="R90" s="29" t="str">
        <f>IFERROR(MID(RADataTable[[#This Row],[RAtemplate]],1,LEN(RADataTable[[#This Row],[RAtemplate]])-8),"RA") &amp; " " &amp; RADataTable[[#This Row],[prop_id0]] &amp; " " &amp; RADataTable[[#This Row],[last0]]</f>
        <v>RA 1750118 Li</v>
      </c>
      <c r="U90" s="21" t="str">
        <f>IF(signer1="PD",IF(ISBLANK(RADataTable[[#This Row],[sign_blck_name]]),"",RADataTable[[#This Row],[sign_blck_name]]),IF(ISBLANK(signer1),"",signer1))</f>
        <v>Rahul Shah</v>
      </c>
      <c r="V90" s="29" t="str">
        <f>signer2</f>
        <v>Cognizant Program Director</v>
      </c>
      <c r="W90" s="15" t="str">
        <f>HYPERLINK("https://www.ejacket.nsf.gov/ej/showProposal.do?Continue=Y&amp;ID="&amp;RADataTable[[#This Row],[prop_id0]],"eJ")</f>
        <v>eJ</v>
      </c>
      <c r="X90" s="15" t="str">
        <f>HYPERLINK("mailto:"&amp;RADataTable[[#This Row],[email]]&amp;"&amp;subject=Your NSF Proposal:  "&amp;RADataTable[[#This Row],[Div]]&amp;" "&amp;RADataTable[[#This Row],[prop_id0]], RADataTable[[#This Row],[email]])</f>
        <v>shil@buffalo.edu</v>
      </c>
      <c r="Y90" s="15" t="str">
        <f>HYPERLINK("mailto:"&amp;RADataTable[[#This Row],[allPIemail]]&amp;"&amp;subject=NSF Proposal:  "&amp;RADataTable[[#This Row],[Div]]&amp;" "&amp;RADataTable[[#This Row],[prop_id0]], "PIs@")</f>
        <v>PIs@</v>
      </c>
      <c r="Z90" t="s">
        <v>742</v>
      </c>
      <c r="AA90" t="s">
        <v>1608</v>
      </c>
      <c r="AB90">
        <v>4</v>
      </c>
      <c r="AD90"/>
      <c r="AE90" s="21" t="str">
        <f>IF(RADataTable[[#This Row],[maxScore]]-RADataTable[[#This Row],[minScore]]&gt;4,"Y","")</f>
        <v/>
      </c>
      <c r="AF90" s="21">
        <v>4</v>
      </c>
      <c r="AG90" s="26">
        <v>5.25</v>
      </c>
      <c r="AH90">
        <v>7</v>
      </c>
      <c r="AI90" t="s">
        <v>2378</v>
      </c>
      <c r="AJ90" s="30">
        <v>43031.584722222222</v>
      </c>
      <c r="AK90" s="13">
        <v>530842</v>
      </c>
      <c r="AL90" s="13">
        <v>530842</v>
      </c>
      <c r="AM90">
        <v>0</v>
      </c>
      <c r="AN90" s="30">
        <v>43344</v>
      </c>
      <c r="AO90" s="21">
        <v>60</v>
      </c>
      <c r="AP90" s="21" t="s">
        <v>2379</v>
      </c>
      <c r="AS90" s="30"/>
      <c r="AT90" t="s">
        <v>544</v>
      </c>
      <c r="AU90" s="21" t="s">
        <v>249</v>
      </c>
      <c r="AV90" s="21">
        <v>13</v>
      </c>
      <c r="AW90" s="21" t="s">
        <v>839</v>
      </c>
      <c r="AX90" s="30">
        <v>43032</v>
      </c>
      <c r="AY90" s="21" t="s">
        <v>2640</v>
      </c>
      <c r="AZ90" s="21" t="s">
        <v>841</v>
      </c>
      <c r="BA90" s="21">
        <v>14</v>
      </c>
      <c r="BB90" s="21">
        <v>2</v>
      </c>
      <c r="BG90" s="30"/>
      <c r="BP90" s="30"/>
      <c r="BU90" t="s">
        <v>1608</v>
      </c>
      <c r="BV90" s="21" t="s">
        <v>1609</v>
      </c>
      <c r="BW90" s="21" t="s">
        <v>2377</v>
      </c>
      <c r="BX90" s="21" t="s">
        <v>2144</v>
      </c>
      <c r="BY90" s="31">
        <v>530842</v>
      </c>
      <c r="BZ90" s="31">
        <v>530842</v>
      </c>
      <c r="CA90" t="s">
        <v>744</v>
      </c>
      <c r="CF90" s="31"/>
      <c r="CG90" s="31"/>
      <c r="CM90" s="31"/>
      <c r="CN90" s="31"/>
      <c r="CT90" s="31"/>
      <c r="CU90" s="31"/>
      <c r="CV90" s="31"/>
      <c r="DA90" s="31"/>
      <c r="DB90" s="31"/>
      <c r="DC90" s="31"/>
      <c r="DH90" s="31"/>
      <c r="DI90" s="31"/>
      <c r="DO90" s="31"/>
      <c r="DP90" s="31"/>
      <c r="DR90" t="s">
        <v>246</v>
      </c>
      <c r="DS90" t="s">
        <v>837</v>
      </c>
      <c r="DT90" t="s">
        <v>529</v>
      </c>
      <c r="DU90" s="29" t="s">
        <v>2627</v>
      </c>
      <c r="DV90" t="s">
        <v>173</v>
      </c>
      <c r="DW90" t="s">
        <v>366</v>
      </c>
      <c r="DX90" t="s">
        <v>171</v>
      </c>
      <c r="DY90" t="s">
        <v>168</v>
      </c>
      <c r="DZ90" t="s">
        <v>169</v>
      </c>
      <c r="EA90" s="22">
        <v>43077.177256944444</v>
      </c>
      <c r="EB90" t="s">
        <v>2380</v>
      </c>
      <c r="EC90" t="s">
        <v>2641</v>
      </c>
    </row>
    <row r="91" spans="1:133">
      <c r="A91" s="30"/>
      <c r="B91" s="22">
        <v>42935.475694444445</v>
      </c>
      <c r="C91" s="22" t="s">
        <v>242</v>
      </c>
      <c r="D91" s="30" t="s">
        <v>741</v>
      </c>
      <c r="E91" s="30" t="s">
        <v>528</v>
      </c>
      <c r="F91" s="30" t="s">
        <v>170</v>
      </c>
      <c r="G91" s="30" t="s">
        <v>172</v>
      </c>
      <c r="H91" t="s">
        <v>94</v>
      </c>
      <c r="I91" t="s">
        <v>743</v>
      </c>
      <c r="J91" t="s">
        <v>1530</v>
      </c>
      <c r="L91">
        <v>1</v>
      </c>
      <c r="M91" s="26">
        <v>3.13</v>
      </c>
      <c r="N91" t="s">
        <v>248</v>
      </c>
      <c r="Q91" s="29" t="s">
        <v>13</v>
      </c>
      <c r="R91" s="29" t="str">
        <f>IFERROR(MID(RADataTable[[#This Row],[RAtemplate]],1,LEN(RADataTable[[#This Row],[RAtemplate]])-8),"RA") &amp; " " &amp; RADataTable[[#This Row],[prop_id0]] &amp; " " &amp; RADataTable[[#This Row],[last0]]</f>
        <v>RA 1750302 Dinitz</v>
      </c>
      <c r="U91" s="21" t="str">
        <f>IF(signer1="PD",IF(ISBLANK(RADataTable[[#This Row],[sign_blck_name]]),"",RADataTable[[#This Row],[sign_blck_name]]),IF(ISBLANK(signer1),"",signer1))</f>
        <v>Rahul Shah</v>
      </c>
      <c r="V91" s="29" t="str">
        <f>signer2</f>
        <v>Cognizant Program Director</v>
      </c>
      <c r="W91" s="15" t="str">
        <f>HYPERLINK("https://www.ejacket.nsf.gov/ej/showProposal.do?Continue=Y&amp;ID="&amp;RADataTable[[#This Row],[prop_id0]],"eJ")</f>
        <v>eJ</v>
      </c>
      <c r="X91" s="15" t="str">
        <f>HYPERLINK("mailto:"&amp;RADataTable[[#This Row],[email]]&amp;"&amp;subject=Your NSF Proposal:  "&amp;RADataTable[[#This Row],[Div]]&amp;" "&amp;RADataTable[[#This Row],[prop_id0]], RADataTable[[#This Row],[email]])</f>
        <v>mdinitz@cs.jhu.edu</v>
      </c>
      <c r="Y91" s="15" t="str">
        <f>HYPERLINK("mailto:"&amp;RADataTable[[#This Row],[allPIemail]]&amp;"&amp;subject=NSF Proposal:  "&amp;RADataTable[[#This Row],[Div]]&amp;" "&amp;RADataTable[[#This Row],[prop_id0]], "PIs@")</f>
        <v>PIs@</v>
      </c>
      <c r="Z91" t="s">
        <v>742</v>
      </c>
      <c r="AA91" t="s">
        <v>1632</v>
      </c>
      <c r="AB91">
        <v>4</v>
      </c>
      <c r="AC91">
        <v>4</v>
      </c>
      <c r="AD91"/>
      <c r="AE91" s="21" t="str">
        <f>IF(RADataTable[[#This Row],[maxScore]]-RADataTable[[#This Row],[minScore]]&gt;4,"Y","")</f>
        <v/>
      </c>
      <c r="AF91" s="21">
        <v>6</v>
      </c>
      <c r="AG91" s="26">
        <v>6.75</v>
      </c>
      <c r="AH91">
        <v>8</v>
      </c>
      <c r="AI91" t="s">
        <v>2388</v>
      </c>
      <c r="AJ91" s="30">
        <v>43030.96875</v>
      </c>
      <c r="AK91" s="13">
        <v>507459</v>
      </c>
      <c r="AL91" s="13">
        <v>507459</v>
      </c>
      <c r="AM91">
        <v>0</v>
      </c>
      <c r="AN91" s="30">
        <v>43282</v>
      </c>
      <c r="AO91" s="21">
        <v>60</v>
      </c>
      <c r="AP91" s="21" t="s">
        <v>2389</v>
      </c>
      <c r="AS91" s="30"/>
      <c r="AT91" t="s">
        <v>544</v>
      </c>
      <c r="AU91" s="21" t="s">
        <v>249</v>
      </c>
      <c r="AV91" s="21">
        <v>13</v>
      </c>
      <c r="AW91" s="21" t="s">
        <v>839</v>
      </c>
      <c r="AX91" s="30">
        <v>43032</v>
      </c>
      <c r="AY91" s="21" t="s">
        <v>2645</v>
      </c>
      <c r="AZ91" s="21" t="s">
        <v>841</v>
      </c>
      <c r="BA91" s="21">
        <v>14</v>
      </c>
      <c r="BB91" s="21">
        <v>1</v>
      </c>
      <c r="BG91" s="30"/>
      <c r="BP91" s="30"/>
      <c r="BU91" t="s">
        <v>1632</v>
      </c>
      <c r="BV91" s="21" t="s">
        <v>1633</v>
      </c>
      <c r="BW91" s="21" t="s">
        <v>1969</v>
      </c>
      <c r="BX91" s="21" t="s">
        <v>1983</v>
      </c>
      <c r="BY91" s="31">
        <v>507459</v>
      </c>
      <c r="BZ91" s="31">
        <v>507459</v>
      </c>
      <c r="CA91" t="s">
        <v>744</v>
      </c>
      <c r="CF91" s="31"/>
      <c r="CG91" s="31"/>
      <c r="CM91" s="31"/>
      <c r="CN91" s="31"/>
      <c r="CT91" s="31"/>
      <c r="CU91" s="31"/>
      <c r="CV91" s="31"/>
      <c r="DA91" s="31"/>
      <c r="DB91" s="31"/>
      <c r="DC91" s="31"/>
      <c r="DH91" s="31"/>
      <c r="DI91" s="31"/>
      <c r="DO91" s="31"/>
      <c r="DP91" s="31"/>
      <c r="DR91" t="s">
        <v>246</v>
      </c>
      <c r="DS91" t="s">
        <v>837</v>
      </c>
      <c r="DT91" t="s">
        <v>529</v>
      </c>
      <c r="DU91" s="29" t="s">
        <v>2627</v>
      </c>
      <c r="DV91" t="s">
        <v>173</v>
      </c>
      <c r="DW91" t="s">
        <v>366</v>
      </c>
      <c r="DX91" t="s">
        <v>171</v>
      </c>
      <c r="DY91" t="s">
        <v>168</v>
      </c>
      <c r="DZ91" t="s">
        <v>169</v>
      </c>
      <c r="EA91" s="22">
        <v>43077.177256944444</v>
      </c>
      <c r="EB91" t="s">
        <v>2390</v>
      </c>
      <c r="EC91" t="s">
        <v>2646</v>
      </c>
    </row>
    <row r="92" spans="1:133">
      <c r="A92" s="30"/>
      <c r="B92" s="22">
        <v>42935.54583333333</v>
      </c>
      <c r="C92" s="22" t="s">
        <v>242</v>
      </c>
      <c r="D92" s="30" t="s">
        <v>741</v>
      </c>
      <c r="E92" s="30" t="s">
        <v>528</v>
      </c>
      <c r="F92" s="30" t="s">
        <v>170</v>
      </c>
      <c r="G92" s="30" t="s">
        <v>172</v>
      </c>
      <c r="H92" t="s">
        <v>94</v>
      </c>
      <c r="I92" t="s">
        <v>743</v>
      </c>
      <c r="J92" t="s">
        <v>1530</v>
      </c>
      <c r="L92">
        <v>1</v>
      </c>
      <c r="M92" s="26">
        <v>3.13</v>
      </c>
      <c r="N92" t="s">
        <v>248</v>
      </c>
      <c r="Q92" s="29" t="s">
        <v>13</v>
      </c>
      <c r="R92" s="29" t="str">
        <f>IFERROR(MID(RADataTable[[#This Row],[RAtemplate]],1,LEN(RADataTable[[#This Row],[RAtemplate]])-8),"RA") &amp; " " &amp; RADataTable[[#This Row],[prop_id0]] &amp; " " &amp; RADataTable[[#This Row],[last0]]</f>
        <v>RA 1750463 Raghvendra</v>
      </c>
      <c r="U92" s="21" t="str">
        <f>IF(signer1="PD",IF(ISBLANK(RADataTable[[#This Row],[sign_blck_name]]),"",RADataTable[[#This Row],[sign_blck_name]]),IF(ISBLANK(signer1),"",signer1))</f>
        <v>Rahul Shah</v>
      </c>
      <c r="V92" s="29" t="str">
        <f>signer2</f>
        <v>Cognizant Program Director</v>
      </c>
      <c r="W92" s="15" t="str">
        <f>HYPERLINK("https://www.ejacket.nsf.gov/ej/showProposal.do?Continue=Y&amp;ID="&amp;RADataTable[[#This Row],[prop_id0]],"eJ")</f>
        <v>eJ</v>
      </c>
      <c r="X92" s="15" t="str">
        <f>HYPERLINK("mailto:"&amp;RADataTable[[#This Row],[email]]&amp;"&amp;subject=Your NSF Proposal:  "&amp;RADataTable[[#This Row],[Div]]&amp;" "&amp;RADataTable[[#This Row],[prop_id0]], RADataTable[[#This Row],[email]])</f>
        <v>sharathr@vt.edu</v>
      </c>
      <c r="Y92" s="15" t="str">
        <f>HYPERLINK("mailto:"&amp;RADataTable[[#This Row],[allPIemail]]&amp;"&amp;subject=NSF Proposal:  "&amp;RADataTable[[#This Row],[Div]]&amp;" "&amp;RADataTable[[#This Row],[prop_id0]], "PIs@")</f>
        <v>PIs@</v>
      </c>
      <c r="Z92" t="s">
        <v>742</v>
      </c>
      <c r="AA92" t="s">
        <v>1697</v>
      </c>
      <c r="AB92">
        <v>4</v>
      </c>
      <c r="AD92"/>
      <c r="AE92" s="21" t="str">
        <f>IF(RADataTable[[#This Row],[maxScore]]-RADataTable[[#This Row],[minScore]]&gt;4,"Y","")</f>
        <v/>
      </c>
      <c r="AF92" s="21">
        <v>5</v>
      </c>
      <c r="AG92" s="26">
        <v>6.5</v>
      </c>
      <c r="AH92">
        <v>8</v>
      </c>
      <c r="AI92" t="s">
        <v>2409</v>
      </c>
      <c r="AJ92" s="30">
        <v>43032.486805555556</v>
      </c>
      <c r="AK92" s="13">
        <v>533991</v>
      </c>
      <c r="AL92" s="13">
        <v>533991</v>
      </c>
      <c r="AM92">
        <v>0</v>
      </c>
      <c r="AN92" s="30">
        <v>43110</v>
      </c>
      <c r="AO92" s="21">
        <v>60</v>
      </c>
      <c r="AP92" s="21" t="s">
        <v>2410</v>
      </c>
      <c r="AS92" s="30"/>
      <c r="AT92" t="s">
        <v>544</v>
      </c>
      <c r="AU92" s="21" t="s">
        <v>249</v>
      </c>
      <c r="AV92" s="21">
        <v>13</v>
      </c>
      <c r="AW92" s="21" t="s">
        <v>839</v>
      </c>
      <c r="AX92" s="30">
        <v>43032</v>
      </c>
      <c r="AY92" s="21" t="s">
        <v>2657</v>
      </c>
      <c r="AZ92" s="21" t="s">
        <v>841</v>
      </c>
      <c r="BA92" s="21">
        <v>14</v>
      </c>
      <c r="BB92" s="21">
        <v>2</v>
      </c>
      <c r="BG92" s="30"/>
      <c r="BP92" s="30"/>
      <c r="BU92" t="s">
        <v>1697</v>
      </c>
      <c r="BV92" s="21" t="s">
        <v>1698</v>
      </c>
      <c r="BW92" s="21" t="s">
        <v>2408</v>
      </c>
      <c r="BX92" s="21" t="s">
        <v>2184</v>
      </c>
      <c r="BY92" s="31">
        <v>533991</v>
      </c>
      <c r="BZ92" s="31">
        <v>533991</v>
      </c>
      <c r="CA92" t="s">
        <v>744</v>
      </c>
      <c r="CF92" s="31"/>
      <c r="CG92" s="31"/>
      <c r="CM92" s="31"/>
      <c r="CN92" s="31"/>
      <c r="CT92" s="31"/>
      <c r="CU92" s="31"/>
      <c r="CV92" s="31"/>
      <c r="DA92" s="31"/>
      <c r="DB92" s="31"/>
      <c r="DC92" s="31"/>
      <c r="DH92" s="31"/>
      <c r="DI92" s="31"/>
      <c r="DO92" s="31"/>
      <c r="DP92" s="31"/>
      <c r="DR92" t="s">
        <v>246</v>
      </c>
      <c r="DS92" t="s">
        <v>837</v>
      </c>
      <c r="DT92" t="s">
        <v>529</v>
      </c>
      <c r="DU92" s="29" t="s">
        <v>2627</v>
      </c>
      <c r="DV92" t="s">
        <v>173</v>
      </c>
      <c r="DW92" t="s">
        <v>366</v>
      </c>
      <c r="DX92" t="s">
        <v>171</v>
      </c>
      <c r="DY92" t="s">
        <v>168</v>
      </c>
      <c r="DZ92" t="s">
        <v>169</v>
      </c>
      <c r="EA92" s="22">
        <v>43077.177256944444</v>
      </c>
      <c r="EB92" t="s">
        <v>2411</v>
      </c>
      <c r="EC92" t="s">
        <v>2658</v>
      </c>
    </row>
    <row r="93" spans="1:133">
      <c r="A93" s="30"/>
      <c r="B93" s="22">
        <v>42935.680555555555</v>
      </c>
      <c r="C93" s="22" t="s">
        <v>242</v>
      </c>
      <c r="D93" s="30" t="s">
        <v>741</v>
      </c>
      <c r="E93" s="30" t="s">
        <v>528</v>
      </c>
      <c r="F93" s="30" t="s">
        <v>170</v>
      </c>
      <c r="G93" s="30" t="s">
        <v>172</v>
      </c>
      <c r="H93" t="s">
        <v>94</v>
      </c>
      <c r="I93" t="s">
        <v>743</v>
      </c>
      <c r="J93" t="s">
        <v>540</v>
      </c>
      <c r="L93">
        <v>1</v>
      </c>
      <c r="M93" s="26">
        <v>3.13</v>
      </c>
      <c r="N93" t="s">
        <v>248</v>
      </c>
      <c r="Q93" s="29" t="s">
        <v>13</v>
      </c>
      <c r="R93" s="29" t="str">
        <f>IFERROR(MID(RADataTable[[#This Row],[RAtemplate]],1,LEN(RADataTable[[#This Row],[RAtemplate]])-8),"RA") &amp; " " &amp; RADataTable[[#This Row],[prop_id0]] &amp; " " &amp; RADataTable[[#This Row],[last0]]</f>
        <v>RA 1751047 Gibson</v>
      </c>
      <c r="U93" s="21" t="str">
        <f>IF(signer1="PD",IF(ISBLANK(RADataTable[[#This Row],[sign_blck_name]]),"",RADataTable[[#This Row],[sign_blck_name]]),IF(ISBLANK(signer1),"",signer1))</f>
        <v>Jack Snoeyink</v>
      </c>
      <c r="V93" s="29" t="str">
        <f>signer2</f>
        <v>Cognizant Program Director</v>
      </c>
      <c r="W93" s="15" t="str">
        <f>HYPERLINK("https://www.ejacket.nsf.gov/ej/showProposal.do?Continue=Y&amp;ID="&amp;RADataTable[[#This Row],[prop_id0]],"eJ")</f>
        <v>eJ</v>
      </c>
      <c r="X93" s="15" t="str">
        <f>HYPERLINK("mailto:"&amp;RADataTable[[#This Row],[email]]&amp;"&amp;subject=Your NSF Proposal:  "&amp;RADataTable[[#This Row],[Div]]&amp;" "&amp;RADataTable[[#This Row],[prop_id0]], RADataTable[[#This Row],[email]])</f>
        <v>MATTHEW.GIBSON@UTSA.EDU</v>
      </c>
      <c r="Y93" s="15" t="str">
        <f>HYPERLINK("mailto:"&amp;RADataTable[[#This Row],[allPIemail]]&amp;"&amp;subject=NSF Proposal:  "&amp;RADataTable[[#This Row],[Div]]&amp;" "&amp;RADataTable[[#This Row],[prop_id0]], "PIs@")</f>
        <v>PIs@</v>
      </c>
      <c r="Z93" t="s">
        <v>742</v>
      </c>
      <c r="AA93" t="s">
        <v>678</v>
      </c>
      <c r="AB93">
        <v>4</v>
      </c>
      <c r="AC93">
        <v>4</v>
      </c>
      <c r="AD93"/>
      <c r="AE93" s="21" t="str">
        <f>IF(RADataTable[[#This Row],[maxScore]]-RADataTable[[#This Row],[minScore]]&gt;4,"Y","")</f>
        <v/>
      </c>
      <c r="AF93" s="21">
        <v>3</v>
      </c>
      <c r="AG93" s="26">
        <v>4.75</v>
      </c>
      <c r="AH93">
        <v>7</v>
      </c>
      <c r="AI93" t="s">
        <v>346</v>
      </c>
      <c r="AJ93" s="30">
        <v>43030.177777777775</v>
      </c>
      <c r="AK93" s="13">
        <v>415497</v>
      </c>
      <c r="AL93" s="13">
        <v>415497</v>
      </c>
      <c r="AM93">
        <v>0</v>
      </c>
      <c r="AN93" s="30">
        <v>43132</v>
      </c>
      <c r="AO93" s="21">
        <v>60</v>
      </c>
      <c r="AP93" s="21" t="s">
        <v>796</v>
      </c>
      <c r="AS93" s="30"/>
      <c r="AT93" t="s">
        <v>544</v>
      </c>
      <c r="AU93" s="21" t="s">
        <v>249</v>
      </c>
      <c r="AV93" s="21">
        <v>13</v>
      </c>
      <c r="AW93" s="21" t="s">
        <v>839</v>
      </c>
      <c r="AX93" s="30">
        <v>43032</v>
      </c>
      <c r="AY93" s="21" t="s">
        <v>368</v>
      </c>
      <c r="AZ93" s="21" t="s">
        <v>841</v>
      </c>
      <c r="BA93" s="21">
        <v>14</v>
      </c>
      <c r="BG93" s="30"/>
      <c r="BP93" s="30"/>
      <c r="BU93" t="s">
        <v>678</v>
      </c>
      <c r="BV93" s="21" t="s">
        <v>679</v>
      </c>
      <c r="BW93" s="21" t="s">
        <v>794</v>
      </c>
      <c r="BX93" s="21" t="s">
        <v>795</v>
      </c>
      <c r="BY93" s="31">
        <v>415497</v>
      </c>
      <c r="BZ93" s="31">
        <v>415497</v>
      </c>
      <c r="CA93" t="s">
        <v>751</v>
      </c>
      <c r="CF93" s="31"/>
      <c r="CG93" s="31"/>
      <c r="CM93" s="31"/>
      <c r="CN93" s="31"/>
      <c r="CT93" s="31"/>
      <c r="CU93" s="31"/>
      <c r="CV93" s="31"/>
      <c r="DA93" s="31"/>
      <c r="DB93" s="31"/>
      <c r="DC93" s="31"/>
      <c r="DH93" s="31"/>
      <c r="DI93" s="31"/>
      <c r="DO93" s="31"/>
      <c r="DP93" s="31"/>
      <c r="DR93" t="s">
        <v>246</v>
      </c>
      <c r="DS93" t="s">
        <v>837</v>
      </c>
      <c r="DT93" t="s">
        <v>529</v>
      </c>
      <c r="DU93" s="29" t="s">
        <v>838</v>
      </c>
      <c r="DV93" t="s">
        <v>173</v>
      </c>
      <c r="DW93" t="s">
        <v>366</v>
      </c>
      <c r="DX93" t="s">
        <v>171</v>
      </c>
      <c r="DY93" t="s">
        <v>168</v>
      </c>
      <c r="DZ93" t="s">
        <v>169</v>
      </c>
      <c r="EA93" s="22">
        <v>43077.177256944444</v>
      </c>
      <c r="EB93" t="s">
        <v>797</v>
      </c>
      <c r="EC93" t="s">
        <v>864</v>
      </c>
    </row>
    <row r="94" spans="1:133">
      <c r="A94" s="30"/>
      <c r="B94" s="22">
        <v>42935.851388888892</v>
      </c>
      <c r="C94" s="22" t="s">
        <v>242</v>
      </c>
      <c r="D94" s="30" t="s">
        <v>741</v>
      </c>
      <c r="E94" s="30" t="s">
        <v>528</v>
      </c>
      <c r="F94" s="30" t="s">
        <v>170</v>
      </c>
      <c r="G94" s="30" t="s">
        <v>172</v>
      </c>
      <c r="H94" t="s">
        <v>94</v>
      </c>
      <c r="I94" t="s">
        <v>743</v>
      </c>
      <c r="J94" t="s">
        <v>1530</v>
      </c>
      <c r="L94">
        <v>1</v>
      </c>
      <c r="M94" s="26">
        <v>3.13</v>
      </c>
      <c r="N94" t="s">
        <v>248</v>
      </c>
      <c r="Q94" s="29" t="s">
        <v>13</v>
      </c>
      <c r="R94" s="29" t="str">
        <f>IFERROR(MID(RADataTable[[#This Row],[RAtemplate]],1,LEN(RADataTable[[#This Row],[RAtemplate]])-8),"RA") &amp; " " &amp; RADataTable[[#This Row],[prop_id0]] &amp; " " &amp; RADataTable[[#This Row],[last0]]</f>
        <v>RA 1751416 Sitchinava</v>
      </c>
      <c r="U94" s="21" t="str">
        <f>IF(signer1="PD",IF(ISBLANK(RADataTable[[#This Row],[sign_blck_name]]),"",RADataTable[[#This Row],[sign_blck_name]]),IF(ISBLANK(signer1),"",signer1))</f>
        <v>Rahul Shah</v>
      </c>
      <c r="V94" s="29" t="str">
        <f>signer2</f>
        <v>Cognizant Program Director</v>
      </c>
      <c r="W94" s="15" t="str">
        <f>HYPERLINK("https://www.ejacket.nsf.gov/ej/showProposal.do?Continue=Y&amp;ID="&amp;RADataTable[[#This Row],[prop_id0]],"eJ")</f>
        <v>eJ</v>
      </c>
      <c r="X94" s="15" t="str">
        <f>HYPERLINK("mailto:"&amp;RADataTable[[#This Row],[email]]&amp;"&amp;subject=Your NSF Proposal:  "&amp;RADataTable[[#This Row],[Div]]&amp;" "&amp;RADataTable[[#This Row],[prop_id0]], RADataTable[[#This Row],[email]])</f>
        <v>nodari@hawaii.edu</v>
      </c>
      <c r="Y94" s="15" t="str">
        <f>HYPERLINK("mailto:"&amp;RADataTable[[#This Row],[allPIemail]]&amp;"&amp;subject=NSF Proposal:  "&amp;RADataTable[[#This Row],[Div]]&amp;" "&amp;RADataTable[[#This Row],[prop_id0]], "PIs@")</f>
        <v>PIs@</v>
      </c>
      <c r="Z94" t="s">
        <v>742</v>
      </c>
      <c r="AA94" t="s">
        <v>1812</v>
      </c>
      <c r="AB94">
        <v>4</v>
      </c>
      <c r="AD94"/>
      <c r="AE94" s="21" t="str">
        <f>IF(RADataTable[[#This Row],[maxScore]]-RADataTable[[#This Row],[minScore]]&gt;4,"Y","")</f>
        <v/>
      </c>
      <c r="AF94" s="21">
        <v>4</v>
      </c>
      <c r="AG94" s="26">
        <v>5.5</v>
      </c>
      <c r="AH94">
        <v>7</v>
      </c>
      <c r="AI94" t="s">
        <v>2465</v>
      </c>
      <c r="AJ94" s="30">
        <v>43031.703472222223</v>
      </c>
      <c r="AK94" s="13">
        <v>549999</v>
      </c>
      <c r="AL94" s="13">
        <v>549999</v>
      </c>
      <c r="AM94">
        <v>0</v>
      </c>
      <c r="AN94" s="30">
        <v>43160</v>
      </c>
      <c r="AO94" s="21">
        <v>60</v>
      </c>
      <c r="AP94" s="21" t="s">
        <v>2466</v>
      </c>
      <c r="AS94" s="30"/>
      <c r="AT94" t="s">
        <v>544</v>
      </c>
      <c r="AU94" s="21" t="s">
        <v>249</v>
      </c>
      <c r="AV94" s="21">
        <v>13</v>
      </c>
      <c r="AW94" s="21" t="s">
        <v>839</v>
      </c>
      <c r="AX94" s="30">
        <v>43032</v>
      </c>
      <c r="AY94" s="21" t="s">
        <v>2680</v>
      </c>
      <c r="AZ94" s="21" t="s">
        <v>841</v>
      </c>
      <c r="BA94" s="21">
        <v>14</v>
      </c>
      <c r="BB94" s="21">
        <v>1</v>
      </c>
      <c r="BG94" s="30"/>
      <c r="BP94" s="30"/>
      <c r="BU94" t="s">
        <v>1812</v>
      </c>
      <c r="BV94" s="21" t="s">
        <v>1813</v>
      </c>
      <c r="BW94" s="21" t="s">
        <v>2463</v>
      </c>
      <c r="BX94" s="21" t="s">
        <v>2464</v>
      </c>
      <c r="BY94" s="31">
        <v>549999</v>
      </c>
      <c r="BZ94" s="31">
        <v>549999</v>
      </c>
      <c r="CA94" t="s">
        <v>2450</v>
      </c>
      <c r="CF94" s="31"/>
      <c r="CG94" s="31"/>
      <c r="CM94" s="31"/>
      <c r="CN94" s="31"/>
      <c r="CT94" s="31"/>
      <c r="CU94" s="31"/>
      <c r="CV94" s="31"/>
      <c r="DA94" s="31"/>
      <c r="DB94" s="31"/>
      <c r="DC94" s="31"/>
      <c r="DH94" s="31"/>
      <c r="DI94" s="31"/>
      <c r="DO94" s="31"/>
      <c r="DP94" s="31"/>
      <c r="DR94" t="s">
        <v>246</v>
      </c>
      <c r="DS94" t="s">
        <v>837</v>
      </c>
      <c r="DT94" t="s">
        <v>529</v>
      </c>
      <c r="DU94" s="29" t="s">
        <v>2627</v>
      </c>
      <c r="DV94" t="s">
        <v>173</v>
      </c>
      <c r="DW94" t="s">
        <v>366</v>
      </c>
      <c r="DX94" t="s">
        <v>171</v>
      </c>
      <c r="DY94" t="s">
        <v>168</v>
      </c>
      <c r="DZ94" t="s">
        <v>169</v>
      </c>
      <c r="EA94" s="22">
        <v>43077.177256944444</v>
      </c>
      <c r="EB94" t="s">
        <v>2467</v>
      </c>
      <c r="EC94" t="s">
        <v>2681</v>
      </c>
    </row>
    <row r="95" spans="1:133">
      <c r="A95" s="30"/>
      <c r="B95" s="22">
        <v>42934.806944444441</v>
      </c>
      <c r="C95" s="22" t="s">
        <v>242</v>
      </c>
      <c r="D95" s="30" t="s">
        <v>741</v>
      </c>
      <c r="E95" s="30" t="s">
        <v>528</v>
      </c>
      <c r="F95" s="30" t="s">
        <v>170</v>
      </c>
      <c r="G95" s="30" t="s">
        <v>172</v>
      </c>
      <c r="H95" t="s">
        <v>94</v>
      </c>
      <c r="I95" t="s">
        <v>743</v>
      </c>
      <c r="J95" t="s">
        <v>1530</v>
      </c>
      <c r="L95">
        <v>2</v>
      </c>
      <c r="M95" s="26">
        <v>3.18</v>
      </c>
      <c r="N95" t="s">
        <v>344</v>
      </c>
      <c r="O95" t="s">
        <v>248</v>
      </c>
      <c r="Q95" s="29" t="s">
        <v>13</v>
      </c>
      <c r="R95" s="29" t="str">
        <f>IFERROR(MID(RADataTable[[#This Row],[RAtemplate]],1,LEN(RADataTable[[#This Row],[RAtemplate]])-8),"RA") &amp; " " &amp; RADataTable[[#This Row],[prop_id0]] &amp; " " &amp; RADataTable[[#This Row],[last0]]</f>
        <v>RA 1750075 Razaviyayn</v>
      </c>
      <c r="U95" s="21" t="str">
        <f>IF(signer1="PD",IF(ISBLANK(RADataTable[[#This Row],[sign_blck_name]]),"",RADataTable[[#This Row],[sign_blck_name]]),IF(ISBLANK(signer1),"",signer1))</f>
        <v>Rahul Shah</v>
      </c>
      <c r="V95" s="29" t="str">
        <f>signer2</f>
        <v>Cognizant Program Director</v>
      </c>
      <c r="W95" s="15" t="str">
        <f>HYPERLINK("https://www.ejacket.nsf.gov/ej/showProposal.do?Continue=Y&amp;ID="&amp;RADataTable[[#This Row],[prop_id0]],"eJ")</f>
        <v>eJ</v>
      </c>
      <c r="X95" s="15" t="str">
        <f>HYPERLINK("mailto:"&amp;RADataTable[[#This Row],[email]]&amp;"&amp;subject=Your NSF Proposal:  "&amp;RADataTable[[#This Row],[Div]]&amp;" "&amp;RADataTable[[#This Row],[prop_id0]], RADataTable[[#This Row],[email]])</f>
        <v>razaviya@usc.edu</v>
      </c>
      <c r="Y95" s="15" t="str">
        <f>HYPERLINK("mailto:"&amp;RADataTable[[#This Row],[allPIemail]]&amp;"&amp;subject=NSF Proposal:  "&amp;RADataTable[[#This Row],[Div]]&amp;" "&amp;RADataTable[[#This Row],[prop_id0]], "PIs@")</f>
        <v>PIs@</v>
      </c>
      <c r="Z95" t="s">
        <v>742</v>
      </c>
      <c r="AA95" t="s">
        <v>1571</v>
      </c>
      <c r="AB95">
        <v>9</v>
      </c>
      <c r="AC95">
        <v>5</v>
      </c>
      <c r="AD95"/>
      <c r="AE95" s="21" t="str">
        <f>IF(RADataTable[[#This Row],[maxScore]]-RADataTable[[#This Row],[minScore]]&gt;4,"Y","")</f>
        <v/>
      </c>
      <c r="AF95" s="21">
        <v>3</v>
      </c>
      <c r="AG95" s="26">
        <v>4.666666666666667</v>
      </c>
      <c r="AH95">
        <v>7</v>
      </c>
      <c r="AI95" t="s">
        <v>2374</v>
      </c>
      <c r="AJ95" s="30">
        <v>43059.886111111111</v>
      </c>
      <c r="AK95" s="13">
        <v>539673</v>
      </c>
      <c r="AL95" s="13">
        <v>539673</v>
      </c>
      <c r="AM95">
        <v>0</v>
      </c>
      <c r="AN95" s="30">
        <v>43236</v>
      </c>
      <c r="AO95" s="21">
        <v>60</v>
      </c>
      <c r="AP95" s="21" t="s">
        <v>2375</v>
      </c>
      <c r="AQ95">
        <v>1</v>
      </c>
      <c r="AR95" t="s">
        <v>2634</v>
      </c>
      <c r="AS95" s="30">
        <v>43037.776388888888</v>
      </c>
      <c r="AT95" t="s">
        <v>619</v>
      </c>
      <c r="AU95" s="21" t="s">
        <v>365</v>
      </c>
      <c r="AV95" s="21">
        <v>18</v>
      </c>
      <c r="AW95" s="21" t="s">
        <v>852</v>
      </c>
      <c r="AX95" s="30">
        <v>43060</v>
      </c>
      <c r="AY95" s="21" t="s">
        <v>2635</v>
      </c>
      <c r="AZ95" s="21" t="s">
        <v>854</v>
      </c>
      <c r="BA95" s="21">
        <v>12</v>
      </c>
      <c r="BC95" s="21" t="s">
        <v>1576</v>
      </c>
      <c r="BD95" s="21" t="s">
        <v>249</v>
      </c>
      <c r="BF95" s="21" t="s">
        <v>2636</v>
      </c>
      <c r="BG95" s="30">
        <v>43060</v>
      </c>
      <c r="BH95" s="21" t="s">
        <v>2637</v>
      </c>
      <c r="BI95" s="21" t="s">
        <v>2638</v>
      </c>
      <c r="BJ95" s="21">
        <v>6</v>
      </c>
      <c r="BP95" s="30"/>
      <c r="BU95" t="s">
        <v>1571</v>
      </c>
      <c r="BV95" s="21" t="s">
        <v>1572</v>
      </c>
      <c r="BW95" s="21" t="s">
        <v>2372</v>
      </c>
      <c r="BX95" s="21" t="s">
        <v>2373</v>
      </c>
      <c r="BY95" s="31">
        <v>539673</v>
      </c>
      <c r="BZ95" s="31">
        <v>539673</v>
      </c>
      <c r="CA95" t="s">
        <v>744</v>
      </c>
      <c r="CF95" s="31"/>
      <c r="CG95" s="31"/>
      <c r="CM95" s="31"/>
      <c r="CN95" s="31"/>
      <c r="CT95" s="31"/>
      <c r="CU95" s="31"/>
      <c r="CV95" s="31"/>
      <c r="DA95" s="31"/>
      <c r="DB95" s="31"/>
      <c r="DC95" s="31"/>
      <c r="DH95" s="31"/>
      <c r="DI95" s="31"/>
      <c r="DO95" s="31"/>
      <c r="DP95" s="31"/>
      <c r="DR95" t="s">
        <v>246</v>
      </c>
      <c r="DS95" t="s">
        <v>837</v>
      </c>
      <c r="DT95" t="s">
        <v>529</v>
      </c>
      <c r="DU95" s="29" t="s">
        <v>2627</v>
      </c>
      <c r="DV95" t="s">
        <v>173</v>
      </c>
      <c r="DW95" t="s">
        <v>366</v>
      </c>
      <c r="DX95" t="s">
        <v>171</v>
      </c>
      <c r="DY95" t="s">
        <v>168</v>
      </c>
      <c r="DZ95" t="s">
        <v>169</v>
      </c>
      <c r="EA95" s="22">
        <v>43077.177256944444</v>
      </c>
      <c r="EB95" t="s">
        <v>2376</v>
      </c>
      <c r="EC95" t="s">
        <v>2639</v>
      </c>
    </row>
    <row r="96" spans="1:133">
      <c r="A96" s="30">
        <v>42955.684733796297</v>
      </c>
      <c r="B96" s="22">
        <v>42809.402083333334</v>
      </c>
      <c r="C96" s="22" t="s">
        <v>1965</v>
      </c>
      <c r="D96" s="30" t="s">
        <v>741</v>
      </c>
      <c r="E96" s="30" t="s">
        <v>901</v>
      </c>
      <c r="F96" s="30" t="s">
        <v>170</v>
      </c>
      <c r="G96" s="30" t="s">
        <v>1966</v>
      </c>
      <c r="H96" t="s">
        <v>94</v>
      </c>
      <c r="I96" t="s">
        <v>1967</v>
      </c>
      <c r="J96" t="s">
        <v>942</v>
      </c>
      <c r="K96" s="22">
        <v>42954.395104166666</v>
      </c>
      <c r="L96">
        <v>1</v>
      </c>
      <c r="M96" s="26">
        <v>4</v>
      </c>
      <c r="N96" t="s">
        <v>975</v>
      </c>
      <c r="Q96" s="29" t="s">
        <v>13</v>
      </c>
      <c r="R96" s="29" t="str">
        <f>IFERROR(MID(RADataTable[[#This Row],[RAtemplate]],1,LEN(RADataTable[[#This Row],[RAtemplate]])-8),"RA") &amp; " " &amp; RADataTable[[#This Row],[prop_id0]] &amp; " " &amp; RADataTable[[#This Row],[last0]]</f>
        <v>RA 1740728 Yang</v>
      </c>
      <c r="U96" s="21" t="str">
        <f>IF(signer1="PD",IF(ISBLANK(RADataTable[[#This Row],[sign_blck_name]]),"",RADataTable[[#This Row],[sign_blck_name]]),IF(ISBLANK(signer1),"",signer1))</f>
        <v>Nandini Kannan</v>
      </c>
      <c r="V96" s="29" t="str">
        <f>signer2</f>
        <v>Cognizant Program Director</v>
      </c>
      <c r="W96" s="15" t="str">
        <f>HYPERLINK("https://www.ejacket.nsf.gov/ej/showProposal.do?Continue=Y&amp;ID="&amp;RADataTable[[#This Row],[prop_id0]],"eJ")</f>
        <v>eJ</v>
      </c>
      <c r="X96" s="15" t="str">
        <f>HYPERLINK("mailto:"&amp;RADataTable[[#This Row],[email]]&amp;"&amp;subject=Your NSF Proposal:  "&amp;RADataTable[[#This Row],[Div]]&amp;" "&amp;RADataTable[[#This Row],[prop_id0]], RADataTable[[#This Row],[email]])</f>
        <v>tianbao-yang@uiowa.edu</v>
      </c>
      <c r="Y96" s="15" t="str">
        <f>HYPERLINK("mailto:"&amp;RADataTable[[#This Row],[allPIemail]]&amp;"&amp;subject=NSF Proposal:  "&amp;RADataTable[[#This Row],[Div]]&amp;" "&amp;RADataTable[[#This Row],[prop_id0]], "PIs@")</f>
        <v>PIs@</v>
      </c>
      <c r="Z96" t="s">
        <v>742</v>
      </c>
      <c r="AA96" t="s">
        <v>1064</v>
      </c>
      <c r="AB96">
        <v>3</v>
      </c>
      <c r="AD96"/>
      <c r="AE96" s="21" t="str">
        <f>IF(RADataTable[[#This Row],[maxScore]]-RADataTable[[#This Row],[minScore]]&gt;4,"Y","")</f>
        <v/>
      </c>
      <c r="AF96" s="21">
        <v>3</v>
      </c>
      <c r="AG96" s="26">
        <v>3.6666666666666665</v>
      </c>
      <c r="AH96">
        <v>5</v>
      </c>
      <c r="AI96" t="s">
        <v>2004</v>
      </c>
      <c r="AJ96" s="30">
        <v>42884.193749999999</v>
      </c>
      <c r="AK96" s="13">
        <v>1496165</v>
      </c>
      <c r="AL96" s="13">
        <v>1496165</v>
      </c>
      <c r="AM96">
        <v>0</v>
      </c>
      <c r="AN96" s="30">
        <v>43101</v>
      </c>
      <c r="AO96" s="21">
        <v>36</v>
      </c>
      <c r="AP96" s="21" t="s">
        <v>2068</v>
      </c>
      <c r="AS96" s="30"/>
      <c r="AT96" t="s">
        <v>943</v>
      </c>
      <c r="AU96" s="21" t="s">
        <v>974</v>
      </c>
      <c r="AW96" s="21" t="s">
        <v>2521</v>
      </c>
      <c r="AX96" s="30">
        <v>42878</v>
      </c>
      <c r="AY96" s="21" t="s">
        <v>2528</v>
      </c>
      <c r="AZ96" s="21" t="s">
        <v>2523</v>
      </c>
      <c r="BA96" s="21">
        <v>12</v>
      </c>
      <c r="BG96" s="30"/>
      <c r="BP96" s="30"/>
      <c r="BU96" t="s">
        <v>1064</v>
      </c>
      <c r="BV96" s="21" t="s">
        <v>1065</v>
      </c>
      <c r="BW96" s="21" t="s">
        <v>2066</v>
      </c>
      <c r="BX96" s="21" t="s">
        <v>2067</v>
      </c>
      <c r="BY96" s="31">
        <v>1496165</v>
      </c>
      <c r="BZ96" s="31">
        <v>1496165</v>
      </c>
      <c r="CA96" t="s">
        <v>1968</v>
      </c>
      <c r="CF96" s="31"/>
      <c r="CG96" s="31"/>
      <c r="CM96" s="31"/>
      <c r="CN96" s="31"/>
      <c r="CT96" s="31"/>
      <c r="CU96" s="31"/>
      <c r="CV96" s="31"/>
      <c r="DA96" s="31"/>
      <c r="DB96" s="31"/>
      <c r="DC96" s="31"/>
      <c r="DH96" s="31"/>
      <c r="DI96" s="31"/>
      <c r="DO96" s="31"/>
      <c r="DP96" s="31"/>
      <c r="DR96" t="s">
        <v>2519</v>
      </c>
      <c r="DS96" t="s">
        <v>837</v>
      </c>
      <c r="DT96" t="s">
        <v>902</v>
      </c>
      <c r="DU96" s="29" t="s">
        <v>2531</v>
      </c>
      <c r="DV96" t="s">
        <v>1971</v>
      </c>
      <c r="DW96" t="s">
        <v>366</v>
      </c>
      <c r="DX96" t="s">
        <v>171</v>
      </c>
      <c r="DY96" t="s">
        <v>168</v>
      </c>
      <c r="DZ96" t="s">
        <v>169</v>
      </c>
      <c r="EA96" s="22">
        <v>43077.177256944444</v>
      </c>
      <c r="EB96" t="s">
        <v>2069</v>
      </c>
      <c r="EC96" t="s">
        <v>2541</v>
      </c>
    </row>
    <row r="97" spans="1:133">
      <c r="A97" s="30">
        <v>42955.698831018519</v>
      </c>
      <c r="B97" s="22">
        <v>42809.629166666666</v>
      </c>
      <c r="C97" s="22" t="s">
        <v>1965</v>
      </c>
      <c r="D97" s="30" t="s">
        <v>741</v>
      </c>
      <c r="E97" s="30" t="s">
        <v>901</v>
      </c>
      <c r="F97" s="30" t="s">
        <v>170</v>
      </c>
      <c r="G97" s="30" t="s">
        <v>1966</v>
      </c>
      <c r="H97" t="s">
        <v>94</v>
      </c>
      <c r="I97" t="s">
        <v>1967</v>
      </c>
      <c r="J97" t="s">
        <v>948</v>
      </c>
      <c r="K97" s="22">
        <v>42955.458935185183</v>
      </c>
      <c r="L97">
        <v>1</v>
      </c>
      <c r="M97" s="26">
        <v>4</v>
      </c>
      <c r="N97" t="s">
        <v>975</v>
      </c>
      <c r="Q97" s="29" t="s">
        <v>13</v>
      </c>
      <c r="R97" s="29" t="str">
        <f>IFERROR(MID(RADataTable[[#This Row],[RAtemplate]],1,LEN(RADataTable[[#This Row],[RAtemplate]])-8),"RA") &amp; " " &amp; RADataTable[[#This Row],[prop_id0]] &amp; " " &amp; RADataTable[[#This Row],[last0]]</f>
        <v>RA 1740790 Mitran</v>
      </c>
      <c r="U97" s="21" t="str">
        <f>IF(signer1="PD",IF(ISBLANK(RADataTable[[#This Row],[sign_blck_name]]),"",RADataTable[[#This Row],[sign_blck_name]]),IF(ISBLANK(signer1),"",signer1))</f>
        <v>Christopher W. Stark</v>
      </c>
      <c r="V97" s="29" t="str">
        <f>signer2</f>
        <v>Cognizant Program Director</v>
      </c>
      <c r="W97" s="15" t="str">
        <f>HYPERLINK("https://www.ejacket.nsf.gov/ej/showProposal.do?Continue=Y&amp;ID="&amp;RADataTable[[#This Row],[prop_id0]],"eJ")</f>
        <v>eJ</v>
      </c>
      <c r="X97" s="15" t="str">
        <f>HYPERLINK("mailto:"&amp;RADataTable[[#This Row],[email]]&amp;"&amp;subject=Your NSF Proposal:  "&amp;RADataTable[[#This Row],[Div]]&amp;" "&amp;RADataTable[[#This Row],[prop_id0]], RADataTable[[#This Row],[email]])</f>
        <v>mitran@unc.edu</v>
      </c>
      <c r="Y97" s="15" t="str">
        <f>HYPERLINK("mailto:"&amp;RADataTable[[#This Row],[allPIemail]]&amp;"&amp;subject=NSF Proposal:  "&amp;RADataTable[[#This Row],[Div]]&amp;" "&amp;RADataTable[[#This Row],[prop_id0]], "PIs@")</f>
        <v>PIs@</v>
      </c>
      <c r="Z97" t="s">
        <v>742</v>
      </c>
      <c r="AA97" t="s">
        <v>1190</v>
      </c>
      <c r="AB97">
        <v>3</v>
      </c>
      <c r="AD97"/>
      <c r="AE97" s="21" t="str">
        <f>IF(RADataTable[[#This Row],[maxScore]]-RADataTable[[#This Row],[minScore]]&gt;4,"Y","")</f>
        <v/>
      </c>
      <c r="AF97" s="21">
        <v>3</v>
      </c>
      <c r="AG97" s="26">
        <v>3.6666666666666665</v>
      </c>
      <c r="AH97">
        <v>5</v>
      </c>
      <c r="AI97" t="s">
        <v>2004</v>
      </c>
      <c r="AJ97" s="30">
        <v>42878.386805555558</v>
      </c>
      <c r="AK97" s="13">
        <v>1495036</v>
      </c>
      <c r="AL97" s="13">
        <v>1495036</v>
      </c>
      <c r="AM97">
        <v>0</v>
      </c>
      <c r="AN97" s="30">
        <v>43101</v>
      </c>
      <c r="AO97" s="21">
        <v>36</v>
      </c>
      <c r="AP97" s="21" t="s">
        <v>2169</v>
      </c>
      <c r="AS97" s="30"/>
      <c r="AT97" t="s">
        <v>943</v>
      </c>
      <c r="AU97" s="21" t="s">
        <v>974</v>
      </c>
      <c r="AW97" s="21" t="s">
        <v>2521</v>
      </c>
      <c r="AX97" s="30">
        <v>42878</v>
      </c>
      <c r="AY97" s="21" t="s">
        <v>2528</v>
      </c>
      <c r="AZ97" s="21" t="s">
        <v>2523</v>
      </c>
      <c r="BA97" s="21">
        <v>12</v>
      </c>
      <c r="BB97" s="21">
        <v>1</v>
      </c>
      <c r="BG97" s="30"/>
      <c r="BP97" s="30"/>
      <c r="BU97" t="s">
        <v>1190</v>
      </c>
      <c r="BV97" s="21" t="s">
        <v>1191</v>
      </c>
      <c r="BW97" s="21" t="s">
        <v>2167</v>
      </c>
      <c r="BX97" s="21" t="s">
        <v>2168</v>
      </c>
      <c r="BY97" s="31">
        <v>1495036</v>
      </c>
      <c r="BZ97" s="31">
        <v>1495036</v>
      </c>
      <c r="CA97" t="s">
        <v>1968</v>
      </c>
      <c r="CF97" s="31"/>
      <c r="CG97" s="31"/>
      <c r="CM97" s="31"/>
      <c r="CN97" s="31"/>
      <c r="CT97" s="31"/>
      <c r="CU97" s="31"/>
      <c r="CV97" s="31"/>
      <c r="DA97" s="31"/>
      <c r="DB97" s="31"/>
      <c r="DC97" s="31"/>
      <c r="DH97" s="31"/>
      <c r="DI97" s="31"/>
      <c r="DO97" s="31"/>
      <c r="DP97" s="31"/>
      <c r="DR97" t="s">
        <v>2519</v>
      </c>
      <c r="DS97" t="s">
        <v>837</v>
      </c>
      <c r="DT97" t="s">
        <v>902</v>
      </c>
      <c r="DU97" s="29" t="s">
        <v>2524</v>
      </c>
      <c r="DV97" t="s">
        <v>1971</v>
      </c>
      <c r="DW97" t="s">
        <v>366</v>
      </c>
      <c r="DX97" t="s">
        <v>171</v>
      </c>
      <c r="DY97" t="s">
        <v>168</v>
      </c>
      <c r="DZ97" t="s">
        <v>169</v>
      </c>
      <c r="EA97" s="22">
        <v>43077.177256944444</v>
      </c>
      <c r="EB97" t="s">
        <v>2170</v>
      </c>
      <c r="EC97" t="s">
        <v>2562</v>
      </c>
    </row>
    <row r="98" spans="1:133">
      <c r="A98" s="30">
        <v>42955.660231481481</v>
      </c>
      <c r="B98" s="22">
        <v>42809.670138888891</v>
      </c>
      <c r="C98" s="22" t="s">
        <v>1965</v>
      </c>
      <c r="D98" s="30" t="s">
        <v>741</v>
      </c>
      <c r="E98" s="30" t="s">
        <v>901</v>
      </c>
      <c r="F98" s="30" t="s">
        <v>170</v>
      </c>
      <c r="G98" s="30" t="s">
        <v>1966</v>
      </c>
      <c r="H98" t="s">
        <v>94</v>
      </c>
      <c r="I98" t="s">
        <v>1967</v>
      </c>
      <c r="J98" t="s">
        <v>948</v>
      </c>
      <c r="K98" s="22">
        <v>42955.477002314816</v>
      </c>
      <c r="L98">
        <v>1</v>
      </c>
      <c r="M98" s="26">
        <v>4</v>
      </c>
      <c r="N98" t="s">
        <v>975</v>
      </c>
      <c r="Q98" s="29" t="s">
        <v>13</v>
      </c>
      <c r="R98" s="29" t="str">
        <f>IFERROR(MID(RADataTable[[#This Row],[RAtemplate]],1,LEN(RADataTable[[#This Row],[RAtemplate]])-8),"RA") &amp; " " &amp; RADataTable[[#This Row],[prop_id0]] &amp; " " &amp; RADataTable[[#This Row],[last0]]</f>
        <v>RA 1740815 Jiang</v>
      </c>
      <c r="U98" s="21" t="str">
        <f>IF(signer1="PD",IF(ISBLANK(RADataTable[[#This Row],[sign_blck_name]]),"",RADataTable[[#This Row],[sign_blck_name]]),IF(ISBLANK(signer1),"",signer1))</f>
        <v>Christopher W. Stark</v>
      </c>
      <c r="V98" s="29" t="str">
        <f>signer2</f>
        <v>Cognizant Program Director</v>
      </c>
      <c r="W98" s="15" t="str">
        <f>HYPERLINK("https://www.ejacket.nsf.gov/ej/showProposal.do?Continue=Y&amp;ID="&amp;RADataTable[[#This Row],[prop_id0]],"eJ")</f>
        <v>eJ</v>
      </c>
      <c r="X98" s="15" t="str">
        <f>HYPERLINK("mailto:"&amp;RADataTable[[#This Row],[email]]&amp;"&amp;subject=Your NSF Proposal:  "&amp;RADataTable[[#This Row],[Div]]&amp;" "&amp;RADataTable[[#This Row],[prop_id0]], RADataTable[[#This Row],[email]])</f>
        <v>jiang@wald.ucdavis.edu</v>
      </c>
      <c r="Y98" s="15" t="str">
        <f>HYPERLINK("mailto:"&amp;RADataTable[[#This Row],[allPIemail]]&amp;"&amp;subject=NSF Proposal:  "&amp;RADataTable[[#This Row],[Div]]&amp;" "&amp;RADataTable[[#This Row],[prop_id0]], "PIs@")</f>
        <v>PIs@</v>
      </c>
      <c r="Z98" t="s">
        <v>742</v>
      </c>
      <c r="AA98" t="s">
        <v>1285</v>
      </c>
      <c r="AB98">
        <v>3</v>
      </c>
      <c r="AD98"/>
      <c r="AE98" s="21" t="str">
        <f>IF(RADataTable[[#This Row],[maxScore]]-RADataTable[[#This Row],[minScore]]&gt;4,"Y","")</f>
        <v/>
      </c>
      <c r="AF98" s="21">
        <v>3</v>
      </c>
      <c r="AG98" s="26">
        <v>4</v>
      </c>
      <c r="AH98">
        <v>5</v>
      </c>
      <c r="AI98" t="s">
        <v>2236</v>
      </c>
      <c r="AJ98" s="30">
        <v>42877.296527777777</v>
      </c>
      <c r="AK98" s="13">
        <v>1498852</v>
      </c>
      <c r="AL98" s="13">
        <v>1498852</v>
      </c>
      <c r="AM98">
        <v>0</v>
      </c>
      <c r="AN98" s="30">
        <v>43009</v>
      </c>
      <c r="AO98" s="21">
        <v>36</v>
      </c>
      <c r="AP98" s="21" t="s">
        <v>2237</v>
      </c>
      <c r="AS98" s="30"/>
      <c r="AT98" t="s">
        <v>943</v>
      </c>
      <c r="AU98" s="21" t="s">
        <v>974</v>
      </c>
      <c r="AW98" s="21" t="s">
        <v>2521</v>
      </c>
      <c r="AX98" s="30">
        <v>42878</v>
      </c>
      <c r="AY98" s="21" t="s">
        <v>2583</v>
      </c>
      <c r="AZ98" s="21" t="s">
        <v>2523</v>
      </c>
      <c r="BA98" s="21">
        <v>12</v>
      </c>
      <c r="BG98" s="30"/>
      <c r="BP98" s="30"/>
      <c r="BU98" t="s">
        <v>1285</v>
      </c>
      <c r="BV98" s="21" t="s">
        <v>1286</v>
      </c>
      <c r="BW98" s="21" t="s">
        <v>2234</v>
      </c>
      <c r="BX98" s="21" t="s">
        <v>2235</v>
      </c>
      <c r="BY98" s="31">
        <v>1498852</v>
      </c>
      <c r="BZ98" s="31">
        <v>1498852</v>
      </c>
      <c r="CA98" t="s">
        <v>2007</v>
      </c>
      <c r="CF98" s="31"/>
      <c r="CG98" s="31"/>
      <c r="CM98" s="31"/>
      <c r="CN98" s="31"/>
      <c r="CT98" s="31"/>
      <c r="CU98" s="31"/>
      <c r="CV98" s="31"/>
      <c r="DA98" s="31"/>
      <c r="DB98" s="31"/>
      <c r="DC98" s="31"/>
      <c r="DH98" s="31"/>
      <c r="DI98" s="31"/>
      <c r="DO98" s="31"/>
      <c r="DP98" s="31"/>
      <c r="DR98" t="s">
        <v>2519</v>
      </c>
      <c r="DS98" t="s">
        <v>837</v>
      </c>
      <c r="DT98" t="s">
        <v>902</v>
      </c>
      <c r="DU98" s="29" t="s">
        <v>2524</v>
      </c>
      <c r="DV98" t="s">
        <v>1971</v>
      </c>
      <c r="DW98" t="s">
        <v>366</v>
      </c>
      <c r="DX98" t="s">
        <v>171</v>
      </c>
      <c r="DY98" t="s">
        <v>168</v>
      </c>
      <c r="DZ98" t="s">
        <v>169</v>
      </c>
      <c r="EA98" s="22">
        <v>43077.177256944444</v>
      </c>
      <c r="EB98" t="s">
        <v>2238</v>
      </c>
      <c r="EC98" t="s">
        <v>2584</v>
      </c>
    </row>
    <row r="99" spans="1:133">
      <c r="A99" s="30">
        <v>42955.67796296296</v>
      </c>
      <c r="B99" s="22">
        <v>42809.673611111109</v>
      </c>
      <c r="C99" s="22" t="s">
        <v>1965</v>
      </c>
      <c r="D99" s="30" t="s">
        <v>741</v>
      </c>
      <c r="E99" s="30" t="s">
        <v>901</v>
      </c>
      <c r="F99" s="30" t="s">
        <v>170</v>
      </c>
      <c r="G99" s="30" t="s">
        <v>1966</v>
      </c>
      <c r="H99" t="s">
        <v>94</v>
      </c>
      <c r="I99" t="s">
        <v>1967</v>
      </c>
      <c r="J99" t="s">
        <v>948</v>
      </c>
      <c r="K99" s="22">
        <v>42955.557638888888</v>
      </c>
      <c r="L99">
        <v>1</v>
      </c>
      <c r="M99" s="26">
        <v>4</v>
      </c>
      <c r="N99" t="s">
        <v>975</v>
      </c>
      <c r="Q99" s="29" t="s">
        <v>13</v>
      </c>
      <c r="R99" s="29" t="str">
        <f>IFERROR(MID(RADataTable[[#This Row],[RAtemplate]],1,LEN(RADataTable[[#This Row],[RAtemplate]])-8),"RA") &amp; " " &amp; RADataTable[[#This Row],[prop_id0]] &amp; " " &amp; RADataTable[[#This Row],[last0]]</f>
        <v>RA 1740818 McGee</v>
      </c>
      <c r="U99" s="21" t="str">
        <f>IF(signer1="PD",IF(ISBLANK(RADataTable[[#This Row],[sign_blck_name]]),"",RADataTable[[#This Row],[sign_blck_name]]),IF(ISBLANK(signer1),"",signer1))</f>
        <v>Christopher W. Stark</v>
      </c>
      <c r="V99" s="29" t="str">
        <f>signer2</f>
        <v>Cognizant Program Director</v>
      </c>
      <c r="W99" s="15" t="str">
        <f>HYPERLINK("https://www.ejacket.nsf.gov/ej/showProposal.do?Continue=Y&amp;ID="&amp;RADataTable[[#This Row],[prop_id0]],"eJ")</f>
        <v>eJ</v>
      </c>
      <c r="X99" s="15" t="str">
        <f>HYPERLINK("mailto:"&amp;RADataTable[[#This Row],[email]]&amp;"&amp;subject=Your NSF Proposal:  "&amp;RADataTable[[#This Row],[Div]]&amp;" "&amp;RADataTable[[#This Row],[prop_id0]], RADataTable[[#This Row],[email]])</f>
        <v>mmcgee@smu.edu</v>
      </c>
      <c r="Y99" s="15" t="str">
        <f>HYPERLINK("mailto:"&amp;RADataTable[[#This Row],[allPIemail]]&amp;"&amp;subject=NSF Proposal:  "&amp;RADataTable[[#This Row],[Div]]&amp;" "&amp;RADataTable[[#This Row],[prop_id0]], "PIs@")</f>
        <v>PIs@</v>
      </c>
      <c r="Z99" t="s">
        <v>742</v>
      </c>
      <c r="AA99" t="s">
        <v>1300</v>
      </c>
      <c r="AB99">
        <v>3</v>
      </c>
      <c r="AD99"/>
      <c r="AE99" s="21" t="str">
        <f>IF(RADataTable[[#This Row],[maxScore]]-RADataTable[[#This Row],[minScore]]&gt;4,"Y","")</f>
        <v/>
      </c>
      <c r="AF99" s="21">
        <v>3</v>
      </c>
      <c r="AG99" s="26">
        <v>4</v>
      </c>
      <c r="AH99">
        <v>5</v>
      </c>
      <c r="AI99" t="s">
        <v>2236</v>
      </c>
      <c r="AJ99" s="30">
        <v>42878.534722222219</v>
      </c>
      <c r="AK99" s="13">
        <v>1478234</v>
      </c>
      <c r="AL99" s="13">
        <v>1478234</v>
      </c>
      <c r="AM99">
        <v>0</v>
      </c>
      <c r="AN99" s="30">
        <v>42979</v>
      </c>
      <c r="AO99" s="21">
        <v>36</v>
      </c>
      <c r="AP99" s="21" t="s">
        <v>2244</v>
      </c>
      <c r="AS99" s="30"/>
      <c r="AT99" t="s">
        <v>943</v>
      </c>
      <c r="AU99" s="21" t="s">
        <v>974</v>
      </c>
      <c r="AW99" s="21" t="s">
        <v>2521</v>
      </c>
      <c r="AX99" s="30">
        <v>42878</v>
      </c>
      <c r="AY99" s="21" t="s">
        <v>2583</v>
      </c>
      <c r="AZ99" s="21" t="s">
        <v>2523</v>
      </c>
      <c r="BA99" s="21">
        <v>12</v>
      </c>
      <c r="BG99" s="30"/>
      <c r="BP99" s="30"/>
      <c r="BU99" t="s">
        <v>1300</v>
      </c>
      <c r="BV99" s="21" t="s">
        <v>1301</v>
      </c>
      <c r="BW99" s="21" t="s">
        <v>2243</v>
      </c>
      <c r="BX99" s="21" t="s">
        <v>833</v>
      </c>
      <c r="BY99" s="31">
        <v>1478234</v>
      </c>
      <c r="BZ99" s="31">
        <v>1478234</v>
      </c>
      <c r="CA99" t="s">
        <v>2007</v>
      </c>
      <c r="CF99" s="31"/>
      <c r="CG99" s="31"/>
      <c r="CM99" s="31"/>
      <c r="CN99" s="31"/>
      <c r="CT99" s="31"/>
      <c r="CU99" s="31"/>
      <c r="CV99" s="31"/>
      <c r="DA99" s="31"/>
      <c r="DB99" s="31"/>
      <c r="DC99" s="31"/>
      <c r="DH99" s="31"/>
      <c r="DI99" s="31"/>
      <c r="DO99" s="31"/>
      <c r="DP99" s="31"/>
      <c r="DR99" t="s">
        <v>2519</v>
      </c>
      <c r="DS99" t="s">
        <v>837</v>
      </c>
      <c r="DT99" t="s">
        <v>902</v>
      </c>
      <c r="DU99" s="29" t="s">
        <v>2524</v>
      </c>
      <c r="DV99" t="s">
        <v>1971</v>
      </c>
      <c r="DW99" t="s">
        <v>366</v>
      </c>
      <c r="DX99" t="s">
        <v>171</v>
      </c>
      <c r="DY99" t="s">
        <v>168</v>
      </c>
      <c r="DZ99" t="s">
        <v>169</v>
      </c>
      <c r="EA99" s="22">
        <v>43077.177256944444</v>
      </c>
      <c r="EB99" t="s">
        <v>2245</v>
      </c>
      <c r="EC99" t="s">
        <v>2587</v>
      </c>
    </row>
    <row r="100" spans="1:133">
      <c r="A100" s="30">
        <v>42955.718252314815</v>
      </c>
      <c r="B100" s="22">
        <v>42809.71597222222</v>
      </c>
      <c r="C100" s="22" t="s">
        <v>1965</v>
      </c>
      <c r="D100" s="30" t="s">
        <v>741</v>
      </c>
      <c r="E100" s="30" t="s">
        <v>901</v>
      </c>
      <c r="F100" s="30" t="s">
        <v>170</v>
      </c>
      <c r="G100" s="30" t="s">
        <v>1966</v>
      </c>
      <c r="H100" t="s">
        <v>94</v>
      </c>
      <c r="I100" t="s">
        <v>1967</v>
      </c>
      <c r="J100" t="s">
        <v>942</v>
      </c>
      <c r="K100" s="22">
        <v>42954.395752314813</v>
      </c>
      <c r="L100">
        <v>1</v>
      </c>
      <c r="M100" s="26">
        <v>4</v>
      </c>
      <c r="N100" t="s">
        <v>975</v>
      </c>
      <c r="Q100" s="29" t="s">
        <v>13</v>
      </c>
      <c r="R100" s="29" t="str">
        <f>IFERROR(MID(RADataTable[[#This Row],[RAtemplate]],1,LEN(RADataTable[[#This Row],[RAtemplate]])-8),"RA") &amp; " " &amp; RADataTable[[#This Row],[prop_id0]] &amp; " " &amp; RADataTable[[#This Row],[last0]]</f>
        <v>RA 1740837 Bresler</v>
      </c>
      <c r="U100" s="21" t="str">
        <f>IF(signer1="PD",IF(ISBLANK(RADataTable[[#This Row],[sign_blck_name]]),"",RADataTable[[#This Row],[sign_blck_name]]),IF(ISBLANK(signer1),"",signer1))</f>
        <v>Nandini Kannan</v>
      </c>
      <c r="V100" s="29" t="str">
        <f>signer2</f>
        <v>Cognizant Program Director</v>
      </c>
      <c r="W100" s="15" t="str">
        <f>HYPERLINK("https://www.ejacket.nsf.gov/ej/showProposal.do?Continue=Y&amp;ID="&amp;RADataTable[[#This Row],[prop_id0]],"eJ")</f>
        <v>eJ</v>
      </c>
      <c r="X100" s="15" t="str">
        <f>HYPERLINK("mailto:"&amp;RADataTable[[#This Row],[email]]&amp;"&amp;subject=Your NSF Proposal:  "&amp;RADataTable[[#This Row],[Div]]&amp;" "&amp;RADataTable[[#This Row],[prop_id0]], RADataTable[[#This Row],[email]])</f>
        <v>ybresler@illinois.edu</v>
      </c>
      <c r="Y100" s="15" t="str">
        <f>HYPERLINK("mailto:"&amp;RADataTable[[#This Row],[allPIemail]]&amp;"&amp;subject=NSF Proposal:  "&amp;RADataTable[[#This Row],[Div]]&amp;" "&amp;RADataTable[[#This Row],[prop_id0]], "PIs@")</f>
        <v>PIs@</v>
      </c>
      <c r="Z100" t="s">
        <v>742</v>
      </c>
      <c r="AA100" t="s">
        <v>1403</v>
      </c>
      <c r="AB100">
        <v>3</v>
      </c>
      <c r="AD100"/>
      <c r="AE100" s="21" t="str">
        <f>IF(RADataTable[[#This Row],[maxScore]]-RADataTable[[#This Row],[minScore]]&gt;4,"Y","")</f>
        <v/>
      </c>
      <c r="AF100" s="21">
        <v>3</v>
      </c>
      <c r="AG100" s="26">
        <v>4.333333333333333</v>
      </c>
      <c r="AH100">
        <v>5</v>
      </c>
      <c r="AI100" t="s">
        <v>1984</v>
      </c>
      <c r="AJ100" s="30">
        <v>42878.55</v>
      </c>
      <c r="AK100" s="13">
        <v>1500000</v>
      </c>
      <c r="AL100" s="13">
        <v>1500000</v>
      </c>
      <c r="AM100">
        <v>0</v>
      </c>
      <c r="AN100" s="30">
        <v>43009</v>
      </c>
      <c r="AO100" s="21">
        <v>36</v>
      </c>
      <c r="AP100" s="21" t="s">
        <v>2295</v>
      </c>
      <c r="AS100" s="30"/>
      <c r="AT100" t="s">
        <v>943</v>
      </c>
      <c r="AU100" s="21" t="s">
        <v>974</v>
      </c>
      <c r="AW100" s="21" t="s">
        <v>2521</v>
      </c>
      <c r="AX100" s="30">
        <v>42878</v>
      </c>
      <c r="AY100" s="21" t="s">
        <v>2526</v>
      </c>
      <c r="AZ100" s="21" t="s">
        <v>2523</v>
      </c>
      <c r="BA100" s="21">
        <v>12</v>
      </c>
      <c r="BG100" s="30"/>
      <c r="BP100" s="30"/>
      <c r="BU100" t="s">
        <v>1403</v>
      </c>
      <c r="BV100" s="21" t="s">
        <v>1404</v>
      </c>
      <c r="BW100" s="21" t="s">
        <v>2294</v>
      </c>
      <c r="BX100" s="21" t="s">
        <v>339</v>
      </c>
      <c r="BY100" s="31">
        <v>1500000</v>
      </c>
      <c r="BZ100" s="31">
        <v>1500000</v>
      </c>
      <c r="CA100" t="s">
        <v>1968</v>
      </c>
      <c r="CF100" s="31"/>
      <c r="CG100" s="31"/>
      <c r="CM100" s="31"/>
      <c r="CN100" s="31"/>
      <c r="CT100" s="31"/>
      <c r="CU100" s="31"/>
      <c r="CV100" s="31"/>
      <c r="DA100" s="31"/>
      <c r="DB100" s="31"/>
      <c r="DC100" s="31"/>
      <c r="DH100" s="31"/>
      <c r="DI100" s="31"/>
      <c r="DO100" s="31"/>
      <c r="DP100" s="31"/>
      <c r="DR100" t="s">
        <v>2519</v>
      </c>
      <c r="DS100" t="s">
        <v>837</v>
      </c>
      <c r="DT100" t="s">
        <v>902</v>
      </c>
      <c r="DU100" s="29" t="s">
        <v>2531</v>
      </c>
      <c r="DV100" t="s">
        <v>1971</v>
      </c>
      <c r="DW100" t="s">
        <v>366</v>
      </c>
      <c r="DX100" t="s">
        <v>171</v>
      </c>
      <c r="DY100" t="s">
        <v>168</v>
      </c>
      <c r="DZ100" t="s">
        <v>169</v>
      </c>
      <c r="EA100" s="22">
        <v>43077.177256944444</v>
      </c>
      <c r="EB100" t="s">
        <v>2296</v>
      </c>
      <c r="EC100" t="s">
        <v>2604</v>
      </c>
    </row>
    <row r="101" spans="1:133">
      <c r="A101" s="30">
        <v>42955.719560185185</v>
      </c>
      <c r="B101" s="22">
        <v>42809.719444444447</v>
      </c>
      <c r="C101" s="22" t="s">
        <v>1965</v>
      </c>
      <c r="D101" s="30" t="s">
        <v>741</v>
      </c>
      <c r="E101" s="30" t="s">
        <v>901</v>
      </c>
      <c r="F101" s="30" t="s">
        <v>170</v>
      </c>
      <c r="G101" s="30" t="s">
        <v>1966</v>
      </c>
      <c r="H101" t="s">
        <v>94</v>
      </c>
      <c r="I101" t="s">
        <v>1967</v>
      </c>
      <c r="J101" t="s">
        <v>942</v>
      </c>
      <c r="K101" s="22">
        <v>42954.395972222221</v>
      </c>
      <c r="L101">
        <v>1</v>
      </c>
      <c r="M101" s="26">
        <v>4</v>
      </c>
      <c r="N101" t="s">
        <v>975</v>
      </c>
      <c r="Q101" s="29" t="s">
        <v>13</v>
      </c>
      <c r="R101" s="29" t="str">
        <f>IFERROR(MID(RADataTable[[#This Row],[RAtemplate]],1,LEN(RADataTable[[#This Row],[RAtemplate]])-8),"RA") &amp; " " &amp; RADataTable[[#This Row],[prop_id0]] &amp; " " &amp; RADataTable[[#This Row],[last0]]</f>
        <v>RA 1740838 Bayne</v>
      </c>
      <c r="U101" s="21" t="str">
        <f>IF(signer1="PD",IF(ISBLANK(RADataTable[[#This Row],[sign_blck_name]]),"",RADataTable[[#This Row],[sign_blck_name]]),IF(ISBLANK(signer1),"",signer1))</f>
        <v>Nandini Kannan</v>
      </c>
      <c r="V101" s="29" t="str">
        <f>signer2</f>
        <v>Cognizant Program Director</v>
      </c>
      <c r="W101" s="15" t="str">
        <f>HYPERLINK("https://www.ejacket.nsf.gov/ej/showProposal.do?Continue=Y&amp;ID="&amp;RADataTable[[#This Row],[prop_id0]],"eJ")</f>
        <v>eJ</v>
      </c>
      <c r="X101" s="15" t="str">
        <f>HYPERLINK("mailto:"&amp;RADataTable[[#This Row],[email]]&amp;"&amp;subject=Your NSF Proposal:  "&amp;RADataTable[[#This Row],[Div]]&amp;" "&amp;RADataTable[[#This Row],[prop_id0]], RADataTable[[#This Row],[email]])</f>
        <v>jay.bayne@marquette.edu</v>
      </c>
      <c r="Y101" s="15" t="str">
        <f>HYPERLINK("mailto:"&amp;RADataTable[[#This Row],[allPIemail]]&amp;"&amp;subject=NSF Proposal:  "&amp;RADataTable[[#This Row],[Div]]&amp;" "&amp;RADataTable[[#This Row],[prop_id0]], "PIs@")</f>
        <v>PIs@</v>
      </c>
      <c r="Z101" t="s">
        <v>742</v>
      </c>
      <c r="AA101" t="s">
        <v>1410</v>
      </c>
      <c r="AB101">
        <v>3</v>
      </c>
      <c r="AD101"/>
      <c r="AE101" s="21" t="str">
        <f>IF(RADataTable[[#This Row],[maxScore]]-RADataTable[[#This Row],[minScore]]&gt;4,"Y","")</f>
        <v/>
      </c>
      <c r="AF101" s="21">
        <v>1</v>
      </c>
      <c r="AG101" s="26">
        <v>1.6666666666666667</v>
      </c>
      <c r="AH101">
        <v>3</v>
      </c>
      <c r="AI101" t="s">
        <v>2082</v>
      </c>
      <c r="AJ101" s="30">
        <v>42878.45208333333</v>
      </c>
      <c r="AK101" s="13">
        <v>1486183</v>
      </c>
      <c r="AL101" s="13">
        <v>1486183</v>
      </c>
      <c r="AM101">
        <v>0</v>
      </c>
      <c r="AN101" s="30">
        <v>43101</v>
      </c>
      <c r="AO101" s="21">
        <v>36</v>
      </c>
      <c r="AP101" s="21" t="s">
        <v>2299</v>
      </c>
      <c r="AS101" s="30"/>
      <c r="AT101" t="s">
        <v>943</v>
      </c>
      <c r="AU101" s="21" t="s">
        <v>974</v>
      </c>
      <c r="AW101" s="21" t="s">
        <v>2521</v>
      </c>
      <c r="AX101" s="30">
        <v>42878</v>
      </c>
      <c r="AY101" s="21" t="s">
        <v>2544</v>
      </c>
      <c r="AZ101" s="21" t="s">
        <v>2523</v>
      </c>
      <c r="BA101" s="21">
        <v>12</v>
      </c>
      <c r="BG101" s="30"/>
      <c r="BP101" s="30"/>
      <c r="BU101" t="s">
        <v>1410</v>
      </c>
      <c r="BV101" s="21" t="s">
        <v>1411</v>
      </c>
      <c r="BW101" s="21" t="s">
        <v>2297</v>
      </c>
      <c r="BX101" s="21" t="s">
        <v>2298</v>
      </c>
      <c r="BY101" s="31">
        <v>1486183</v>
      </c>
      <c r="BZ101" s="31">
        <v>1486183</v>
      </c>
      <c r="CA101" t="s">
        <v>1968</v>
      </c>
      <c r="CF101" s="31"/>
      <c r="CG101" s="31"/>
      <c r="CM101" s="31"/>
      <c r="CN101" s="31"/>
      <c r="CT101" s="31"/>
      <c r="CU101" s="31"/>
      <c r="CV101" s="31"/>
      <c r="DA101" s="31"/>
      <c r="DB101" s="31"/>
      <c r="DC101" s="31"/>
      <c r="DH101" s="31"/>
      <c r="DI101" s="31"/>
      <c r="DO101" s="31"/>
      <c r="DP101" s="31"/>
      <c r="DR101" t="s">
        <v>2519</v>
      </c>
      <c r="DS101" t="s">
        <v>837</v>
      </c>
      <c r="DT101" t="s">
        <v>902</v>
      </c>
      <c r="DU101" s="29" t="s">
        <v>2531</v>
      </c>
      <c r="DV101" t="s">
        <v>1971</v>
      </c>
      <c r="DW101" t="s">
        <v>366</v>
      </c>
      <c r="DX101" t="s">
        <v>171</v>
      </c>
      <c r="DY101" t="s">
        <v>168</v>
      </c>
      <c r="DZ101" t="s">
        <v>169</v>
      </c>
      <c r="EA101" s="22">
        <v>43077.177256944444</v>
      </c>
      <c r="EB101" t="s">
        <v>2300</v>
      </c>
      <c r="EC101" t="s">
        <v>2605</v>
      </c>
    </row>
    <row r="102" spans="1:133">
      <c r="A102" s="30">
        <v>42955.72016203704</v>
      </c>
      <c r="B102" s="22">
        <v>42809.723611111112</v>
      </c>
      <c r="C102" s="22" t="s">
        <v>1965</v>
      </c>
      <c r="D102" s="30" t="s">
        <v>741</v>
      </c>
      <c r="E102" s="30" t="s">
        <v>901</v>
      </c>
      <c r="F102" s="30" t="s">
        <v>170</v>
      </c>
      <c r="G102" s="30" t="s">
        <v>1966</v>
      </c>
      <c r="H102" t="s">
        <v>94</v>
      </c>
      <c r="I102" t="s">
        <v>1967</v>
      </c>
      <c r="J102" t="s">
        <v>942</v>
      </c>
      <c r="K102" s="22">
        <v>42954.397997685184</v>
      </c>
      <c r="L102">
        <v>1</v>
      </c>
      <c r="M102" s="26">
        <v>4</v>
      </c>
      <c r="N102" t="s">
        <v>975</v>
      </c>
      <c r="Q102" s="29" t="s">
        <v>13</v>
      </c>
      <c r="R102" s="29" t="str">
        <f>IFERROR(MID(RADataTable[[#This Row],[RAtemplate]],1,LEN(RADataTable[[#This Row],[RAtemplate]])-8),"RA") &amp; " " &amp; RADataTable[[#This Row],[prop_id0]] &amp; " " &amp; RADataTable[[#This Row],[last0]]</f>
        <v>RA 1740840 Poggi-Corradini</v>
      </c>
      <c r="U102" s="21" t="str">
        <f>IF(signer1="PD",IF(ISBLANK(RADataTable[[#This Row],[sign_blck_name]]),"",RADataTable[[#This Row],[sign_blck_name]]),IF(ISBLANK(signer1),"",signer1))</f>
        <v>Nandini Kannan</v>
      </c>
      <c r="V102" s="29" t="str">
        <f>signer2</f>
        <v>Cognizant Program Director</v>
      </c>
      <c r="W102" s="15" t="str">
        <f>HYPERLINK("https://www.ejacket.nsf.gov/ej/showProposal.do?Continue=Y&amp;ID="&amp;RADataTable[[#This Row],[prop_id0]],"eJ")</f>
        <v>eJ</v>
      </c>
      <c r="X102" s="15" t="str">
        <f>HYPERLINK("mailto:"&amp;RADataTable[[#This Row],[email]]&amp;"&amp;subject=Your NSF Proposal:  "&amp;RADataTable[[#This Row],[Div]]&amp;" "&amp;RADataTable[[#This Row],[prop_id0]], RADataTable[[#This Row],[email]])</f>
        <v>pietro@math.ksu.edu</v>
      </c>
      <c r="Y102" s="15" t="str">
        <f>HYPERLINK("mailto:"&amp;RADataTable[[#This Row],[allPIemail]]&amp;"&amp;subject=NSF Proposal:  "&amp;RADataTable[[#This Row],[Div]]&amp;" "&amp;RADataTable[[#This Row],[prop_id0]], "PIs@")</f>
        <v>PIs@</v>
      </c>
      <c r="Z102" t="s">
        <v>742</v>
      </c>
      <c r="AA102" t="s">
        <v>1416</v>
      </c>
      <c r="AB102">
        <v>3</v>
      </c>
      <c r="AD102"/>
      <c r="AE102" s="21" t="str">
        <f>IF(RADataTable[[#This Row],[maxScore]]-RADataTable[[#This Row],[minScore]]&gt;4,"Y","")</f>
        <v/>
      </c>
      <c r="AF102" s="21">
        <v>3</v>
      </c>
      <c r="AG102" s="26">
        <v>4.333333333333333</v>
      </c>
      <c r="AH102">
        <v>5</v>
      </c>
      <c r="AI102" t="s">
        <v>1984</v>
      </c>
      <c r="AJ102" s="30">
        <v>42877.401388888888</v>
      </c>
      <c r="AK102" s="13">
        <v>1499366</v>
      </c>
      <c r="AL102" s="13">
        <v>1499366</v>
      </c>
      <c r="AM102">
        <v>0</v>
      </c>
      <c r="AN102" s="30">
        <v>42979</v>
      </c>
      <c r="AO102" s="21">
        <v>36</v>
      </c>
      <c r="AP102" s="21" t="s">
        <v>2303</v>
      </c>
      <c r="AS102" s="30"/>
      <c r="AT102" t="s">
        <v>943</v>
      </c>
      <c r="AU102" s="21" t="s">
        <v>974</v>
      </c>
      <c r="AW102" s="21" t="s">
        <v>2521</v>
      </c>
      <c r="AX102" s="30">
        <v>42878</v>
      </c>
      <c r="AY102" s="21" t="s">
        <v>2526</v>
      </c>
      <c r="AZ102" s="21" t="s">
        <v>2523</v>
      </c>
      <c r="BA102" s="21">
        <v>12</v>
      </c>
      <c r="BG102" s="30"/>
      <c r="BP102" s="30"/>
      <c r="BU102" t="s">
        <v>1416</v>
      </c>
      <c r="BV102" s="21" t="s">
        <v>1417</v>
      </c>
      <c r="BW102" s="21" t="s">
        <v>2301</v>
      </c>
      <c r="BX102" s="21" t="s">
        <v>2302</v>
      </c>
      <c r="BY102" s="31">
        <v>1499366</v>
      </c>
      <c r="BZ102" s="31">
        <v>1499366</v>
      </c>
      <c r="CA102" t="s">
        <v>1995</v>
      </c>
      <c r="CF102" s="31"/>
      <c r="CG102" s="31"/>
      <c r="CM102" s="31"/>
      <c r="CN102" s="31"/>
      <c r="CT102" s="31"/>
      <c r="CU102" s="31"/>
      <c r="CV102" s="31"/>
      <c r="DA102" s="31"/>
      <c r="DB102" s="31"/>
      <c r="DC102" s="31"/>
      <c r="DH102" s="31"/>
      <c r="DI102" s="31"/>
      <c r="DO102" s="31"/>
      <c r="DP102" s="31"/>
      <c r="DR102" t="s">
        <v>2519</v>
      </c>
      <c r="DS102" t="s">
        <v>837</v>
      </c>
      <c r="DT102" t="s">
        <v>902</v>
      </c>
      <c r="DU102" s="29" t="s">
        <v>2531</v>
      </c>
      <c r="DV102" t="s">
        <v>1971</v>
      </c>
      <c r="DW102" t="s">
        <v>366</v>
      </c>
      <c r="DX102" t="s">
        <v>171</v>
      </c>
      <c r="DY102" t="s">
        <v>168</v>
      </c>
      <c r="DZ102" t="s">
        <v>169</v>
      </c>
      <c r="EA102" s="22">
        <v>43077.177256944444</v>
      </c>
      <c r="EB102" t="s">
        <v>2304</v>
      </c>
      <c r="EC102" t="s">
        <v>2606</v>
      </c>
    </row>
    <row r="103" spans="1:133">
      <c r="A103" s="30">
        <v>42957.731087962966</v>
      </c>
      <c r="B103" s="22">
        <v>42809.727777777778</v>
      </c>
      <c r="C103" s="22" t="s">
        <v>1965</v>
      </c>
      <c r="D103" s="30" t="s">
        <v>741</v>
      </c>
      <c r="E103" s="30" t="s">
        <v>901</v>
      </c>
      <c r="F103" s="30" t="s">
        <v>170</v>
      </c>
      <c r="G103" s="30" t="s">
        <v>1966</v>
      </c>
      <c r="H103" t="s">
        <v>94</v>
      </c>
      <c r="I103" t="s">
        <v>1967</v>
      </c>
      <c r="J103" t="s">
        <v>948</v>
      </c>
      <c r="K103" s="22">
        <v>42957.358275462961</v>
      </c>
      <c r="L103">
        <v>1</v>
      </c>
      <c r="M103" s="26">
        <v>4</v>
      </c>
      <c r="N103" t="s">
        <v>975</v>
      </c>
      <c r="Q103" s="29" t="s">
        <v>13</v>
      </c>
      <c r="R103" s="29" t="str">
        <f>IFERROR(MID(RADataTable[[#This Row],[RAtemplate]],1,LEN(RADataTable[[#This Row],[RAtemplate]])-8),"RA") &amp; " " &amp; RADataTable[[#This Row],[prop_id0]] &amp; " " &amp; RADataTable[[#This Row],[last0]]</f>
        <v>RA 1740843 Clarke</v>
      </c>
      <c r="U103" s="21" t="str">
        <f>IF(signer1="PD",IF(ISBLANK(RADataTable[[#This Row],[sign_blck_name]]),"",RADataTable[[#This Row],[sign_blck_name]]),IF(ISBLANK(signer1),"",signer1))</f>
        <v>Christopher W. Stark</v>
      </c>
      <c r="V103" s="29" t="str">
        <f>signer2</f>
        <v>Cognizant Program Director</v>
      </c>
      <c r="W103" s="15" t="str">
        <f>HYPERLINK("https://www.ejacket.nsf.gov/ej/showProposal.do?Continue=Y&amp;ID="&amp;RADataTable[[#This Row],[prop_id0]],"eJ")</f>
        <v>eJ</v>
      </c>
      <c r="X103" s="15" t="str">
        <f>HYPERLINK("mailto:"&amp;RADataTable[[#This Row],[email]]&amp;"&amp;subject=Your NSF Proposal:  "&amp;RADataTable[[#This Row],[Div]]&amp;" "&amp;RADataTable[[#This Row],[prop_id0]], RADataTable[[#This Row],[email]])</f>
        <v>jclarke3@unl.edu</v>
      </c>
      <c r="Y103" s="15" t="str">
        <f>HYPERLINK("mailto:"&amp;RADataTable[[#This Row],[allPIemail]]&amp;"&amp;subject=NSF Proposal:  "&amp;RADataTable[[#This Row],[Div]]&amp;" "&amp;RADataTable[[#This Row],[prop_id0]], "PIs@")</f>
        <v>PIs@</v>
      </c>
      <c r="Z103" t="s">
        <v>742</v>
      </c>
      <c r="AA103" t="s">
        <v>1422</v>
      </c>
      <c r="AB103">
        <v>3</v>
      </c>
      <c r="AD103"/>
      <c r="AE103" s="21" t="str">
        <f>IF(RADataTable[[#This Row],[maxScore]]-RADataTable[[#This Row],[minScore]]&gt;4,"Y","")</f>
        <v/>
      </c>
      <c r="AF103" s="21">
        <v>3</v>
      </c>
      <c r="AG103" s="26">
        <v>3.6666666666666665</v>
      </c>
      <c r="AH103">
        <v>5</v>
      </c>
      <c r="AI103" t="s">
        <v>2004</v>
      </c>
      <c r="AJ103" s="30">
        <v>42878.50277777778</v>
      </c>
      <c r="AK103" s="13">
        <v>1472301</v>
      </c>
      <c r="AL103" s="13">
        <v>1472301</v>
      </c>
      <c r="AM103">
        <v>0</v>
      </c>
      <c r="AN103" s="30">
        <v>42979</v>
      </c>
      <c r="AO103" s="21">
        <v>36</v>
      </c>
      <c r="AP103" s="21" t="s">
        <v>2307</v>
      </c>
      <c r="AS103" s="30"/>
      <c r="AT103" t="s">
        <v>943</v>
      </c>
      <c r="AU103" s="21" t="s">
        <v>974</v>
      </c>
      <c r="AW103" s="21" t="s">
        <v>2521</v>
      </c>
      <c r="AX103" s="30">
        <v>42878</v>
      </c>
      <c r="AY103" s="21" t="s">
        <v>2528</v>
      </c>
      <c r="AZ103" s="21" t="s">
        <v>2523</v>
      </c>
      <c r="BA103" s="21">
        <v>12</v>
      </c>
      <c r="BG103" s="30"/>
      <c r="BP103" s="30"/>
      <c r="BU103" t="s">
        <v>1422</v>
      </c>
      <c r="BV103" s="21" t="s">
        <v>1423</v>
      </c>
      <c r="BW103" s="21" t="s">
        <v>2305</v>
      </c>
      <c r="BX103" s="21" t="s">
        <v>2306</v>
      </c>
      <c r="BY103" s="31">
        <v>1472301</v>
      </c>
      <c r="BZ103" s="31">
        <v>1472301</v>
      </c>
      <c r="CA103" t="s">
        <v>1987</v>
      </c>
      <c r="CF103" s="31"/>
      <c r="CG103" s="31"/>
      <c r="CM103" s="31"/>
      <c r="CN103" s="31"/>
      <c r="CT103" s="31"/>
      <c r="CU103" s="31"/>
      <c r="CV103" s="31"/>
      <c r="DA103" s="31"/>
      <c r="DB103" s="31"/>
      <c r="DC103" s="31"/>
      <c r="DH103" s="31"/>
      <c r="DI103" s="31"/>
      <c r="DO103" s="31"/>
      <c r="DP103" s="31"/>
      <c r="DR103" t="s">
        <v>2519</v>
      </c>
      <c r="DS103" t="s">
        <v>837</v>
      </c>
      <c r="DT103" t="s">
        <v>902</v>
      </c>
      <c r="DU103" s="29" t="s">
        <v>2524</v>
      </c>
      <c r="DV103" t="s">
        <v>1971</v>
      </c>
      <c r="DW103" t="s">
        <v>366</v>
      </c>
      <c r="DX103" t="s">
        <v>171</v>
      </c>
      <c r="DY103" t="s">
        <v>168</v>
      </c>
      <c r="DZ103" t="s">
        <v>169</v>
      </c>
      <c r="EA103" s="22">
        <v>43077.177256944444</v>
      </c>
      <c r="EB103" t="s">
        <v>2308</v>
      </c>
      <c r="EC103" t="s">
        <v>2607</v>
      </c>
    </row>
    <row r="104" spans="1:133">
      <c r="A104" s="30">
        <v>42955.721747685187</v>
      </c>
      <c r="B104" s="22">
        <v>42809.765972222223</v>
      </c>
      <c r="C104" s="22" t="s">
        <v>1965</v>
      </c>
      <c r="D104" s="30" t="s">
        <v>741</v>
      </c>
      <c r="E104" s="30" t="s">
        <v>901</v>
      </c>
      <c r="F104" s="30" t="s">
        <v>170</v>
      </c>
      <c r="G104" s="30" t="s">
        <v>1966</v>
      </c>
      <c r="H104" t="s">
        <v>94</v>
      </c>
      <c r="I104" t="s">
        <v>1967</v>
      </c>
      <c r="J104" t="s">
        <v>942</v>
      </c>
      <c r="K104" s="22">
        <v>42954.41034722222</v>
      </c>
      <c r="L104">
        <v>1</v>
      </c>
      <c r="M104" s="26">
        <v>4</v>
      </c>
      <c r="N104" t="s">
        <v>975</v>
      </c>
      <c r="Q104" s="29" t="s">
        <v>13</v>
      </c>
      <c r="R104" s="29" t="str">
        <f>IFERROR(MID(RADataTable[[#This Row],[RAtemplate]],1,LEN(RADataTable[[#This Row],[RAtemplate]])-8),"RA") &amp; " " &amp; RADataTable[[#This Row],[prop_id0]] &amp; " " &amp; RADataTable[[#This Row],[last0]]</f>
        <v>RA 1740852 Gilbert</v>
      </c>
      <c r="U104" s="21" t="str">
        <f>IF(signer1="PD",IF(ISBLANK(RADataTable[[#This Row],[sign_blck_name]]),"",RADataTable[[#This Row],[sign_blck_name]]),IF(ISBLANK(signer1),"",signer1))</f>
        <v>Nandini Kannan</v>
      </c>
      <c r="V104" s="29" t="str">
        <f>signer2</f>
        <v>Cognizant Program Director</v>
      </c>
      <c r="W104" s="15" t="str">
        <f>HYPERLINK("https://www.ejacket.nsf.gov/ej/showProposal.do?Continue=Y&amp;ID="&amp;RADataTable[[#This Row],[prop_id0]],"eJ")</f>
        <v>eJ</v>
      </c>
      <c r="X104" s="15" t="str">
        <f>HYPERLINK("mailto:"&amp;RADataTable[[#This Row],[email]]&amp;"&amp;subject=Your NSF Proposal:  "&amp;RADataTable[[#This Row],[Div]]&amp;" "&amp;RADataTable[[#This Row],[prop_id0]], RADataTable[[#This Row],[email]])</f>
        <v>gilbert@cs.ucsb.edu</v>
      </c>
      <c r="Y104" s="15" t="str">
        <f>HYPERLINK("mailto:"&amp;RADataTable[[#This Row],[allPIemail]]&amp;"&amp;subject=NSF Proposal:  "&amp;RADataTable[[#This Row],[Div]]&amp;" "&amp;RADataTable[[#This Row],[prop_id0]], "PIs@")</f>
        <v>PIs@</v>
      </c>
      <c r="Z104" t="s">
        <v>742</v>
      </c>
      <c r="AA104" t="s">
        <v>1445</v>
      </c>
      <c r="AB104">
        <v>3</v>
      </c>
      <c r="AD104"/>
      <c r="AE104" s="21" t="str">
        <f>IF(RADataTable[[#This Row],[maxScore]]-RADataTable[[#This Row],[minScore]]&gt;4,"Y","")</f>
        <v/>
      </c>
      <c r="AF104" s="21">
        <v>3</v>
      </c>
      <c r="AG104" s="26">
        <v>4.333333333333333</v>
      </c>
      <c r="AH104">
        <v>5</v>
      </c>
      <c r="AI104" t="s">
        <v>1984</v>
      </c>
      <c r="AJ104" s="30">
        <v>42878.557638888888</v>
      </c>
      <c r="AK104" s="13">
        <v>1496834</v>
      </c>
      <c r="AL104" s="13">
        <v>1496834</v>
      </c>
      <c r="AM104">
        <v>0</v>
      </c>
      <c r="AN104" s="30">
        <v>42917</v>
      </c>
      <c r="AO104" s="21">
        <v>36</v>
      </c>
      <c r="AP104" s="21" t="s">
        <v>2319</v>
      </c>
      <c r="AS104" s="30"/>
      <c r="AT104" t="s">
        <v>943</v>
      </c>
      <c r="AU104" s="21" t="s">
        <v>974</v>
      </c>
      <c r="AW104" s="21" t="s">
        <v>2521</v>
      </c>
      <c r="AX104" s="30">
        <v>42878</v>
      </c>
      <c r="AY104" s="21" t="s">
        <v>2526</v>
      </c>
      <c r="AZ104" s="21" t="s">
        <v>2523</v>
      </c>
      <c r="BA104" s="21">
        <v>12</v>
      </c>
      <c r="BG104" s="30"/>
      <c r="BP104" s="30"/>
      <c r="BU104" t="s">
        <v>1445</v>
      </c>
      <c r="BV104" s="21" t="s">
        <v>1141</v>
      </c>
      <c r="BW104" s="21" t="s">
        <v>2095</v>
      </c>
      <c r="BX104" s="21" t="s">
        <v>2318</v>
      </c>
      <c r="BY104" s="31">
        <v>1496834</v>
      </c>
      <c r="BZ104" s="31">
        <v>1496834</v>
      </c>
      <c r="CA104" t="s">
        <v>1968</v>
      </c>
      <c r="CF104" s="31"/>
      <c r="CG104" s="31"/>
      <c r="CM104" s="31"/>
      <c r="CN104" s="31"/>
      <c r="CT104" s="31"/>
      <c r="CU104" s="31"/>
      <c r="CV104" s="31"/>
      <c r="DA104" s="31"/>
      <c r="DB104" s="31"/>
      <c r="DC104" s="31"/>
      <c r="DH104" s="31"/>
      <c r="DI104" s="31"/>
      <c r="DO104" s="31"/>
      <c r="DP104" s="31"/>
      <c r="DR104" t="s">
        <v>2519</v>
      </c>
      <c r="DS104" t="s">
        <v>837</v>
      </c>
      <c r="DT104" t="s">
        <v>902</v>
      </c>
      <c r="DU104" s="29" t="s">
        <v>2531</v>
      </c>
      <c r="DV104" t="s">
        <v>1971</v>
      </c>
      <c r="DW104" t="s">
        <v>366</v>
      </c>
      <c r="DX104" t="s">
        <v>171</v>
      </c>
      <c r="DY104" t="s">
        <v>168</v>
      </c>
      <c r="DZ104" t="s">
        <v>169</v>
      </c>
      <c r="EA104" s="22">
        <v>43077.177256944444</v>
      </c>
      <c r="EB104" t="s">
        <v>2320</v>
      </c>
      <c r="EC104" t="s">
        <v>2611</v>
      </c>
    </row>
    <row r="105" spans="1:133">
      <c r="A105" s="30">
        <v>42955.722673611112</v>
      </c>
      <c r="B105" s="22">
        <v>42809.783333333333</v>
      </c>
      <c r="C105" s="22" t="s">
        <v>1965</v>
      </c>
      <c r="D105" s="30" t="s">
        <v>741</v>
      </c>
      <c r="E105" s="30" t="s">
        <v>901</v>
      </c>
      <c r="F105" s="30" t="s">
        <v>170</v>
      </c>
      <c r="G105" s="30" t="s">
        <v>1966</v>
      </c>
      <c r="H105" t="s">
        <v>94</v>
      </c>
      <c r="I105" t="s">
        <v>1967</v>
      </c>
      <c r="J105" t="s">
        <v>942</v>
      </c>
      <c r="K105" s="22">
        <v>42954.403321759259</v>
      </c>
      <c r="L105">
        <v>1</v>
      </c>
      <c r="M105" s="26">
        <v>4</v>
      </c>
      <c r="N105" t="s">
        <v>975</v>
      </c>
      <c r="Q105" s="29" t="s">
        <v>13</v>
      </c>
      <c r="R105" s="29" t="str">
        <f>IFERROR(MID(RADataTable[[#This Row],[RAtemplate]],1,LEN(RADataTable[[#This Row],[RAtemplate]])-8),"RA") &amp; " " &amp; RADataTable[[#This Row],[prop_id0]] &amp; " " &amp; RADataTable[[#This Row],[last0]]</f>
        <v>RA 1740854 Gao</v>
      </c>
      <c r="U105" s="21" t="str">
        <f>IF(signer1="PD",IF(ISBLANK(RADataTable[[#This Row],[sign_blck_name]]),"",RADataTable[[#This Row],[sign_blck_name]]),IF(ISBLANK(signer1),"",signer1))</f>
        <v>Nandini Kannan</v>
      </c>
      <c r="V105" s="29" t="str">
        <f>signer2</f>
        <v>Cognizant Program Director</v>
      </c>
      <c r="W105" s="15" t="str">
        <f>HYPERLINK("https://www.ejacket.nsf.gov/ej/showProposal.do?Continue=Y&amp;ID="&amp;RADataTable[[#This Row],[prop_id0]],"eJ")</f>
        <v>eJ</v>
      </c>
      <c r="X105" s="15" t="str">
        <f>HYPERLINK("mailto:"&amp;RADataTable[[#This Row],[email]]&amp;"&amp;subject=Your NSF Proposal:  "&amp;RADataTable[[#This Row],[Div]]&amp;" "&amp;RADataTable[[#This Row],[prop_id0]], RADataTable[[#This Row],[email]])</f>
        <v>fuchang@uidaho.edu</v>
      </c>
      <c r="Y105" s="15" t="str">
        <f>HYPERLINK("mailto:"&amp;RADataTable[[#This Row],[allPIemail]]&amp;"&amp;subject=NSF Proposal:  "&amp;RADataTable[[#This Row],[Div]]&amp;" "&amp;RADataTable[[#This Row],[prop_id0]], "PIs@")</f>
        <v>PIs@</v>
      </c>
      <c r="Z105" t="s">
        <v>742</v>
      </c>
      <c r="AA105" t="s">
        <v>1450</v>
      </c>
      <c r="AB105">
        <v>3</v>
      </c>
      <c r="AD105"/>
      <c r="AE105" s="21" t="str">
        <f>IF(RADataTable[[#This Row],[maxScore]]-RADataTable[[#This Row],[minScore]]&gt;4,"Y","")</f>
        <v/>
      </c>
      <c r="AF105" s="21">
        <v>3</v>
      </c>
      <c r="AG105" s="26">
        <v>4.333333333333333</v>
      </c>
      <c r="AH105">
        <v>5</v>
      </c>
      <c r="AI105" t="s">
        <v>1984</v>
      </c>
      <c r="AJ105" s="30">
        <v>42884.197916666664</v>
      </c>
      <c r="AK105" s="13">
        <v>1493022</v>
      </c>
      <c r="AL105" s="13">
        <v>1493022</v>
      </c>
      <c r="AM105">
        <v>0</v>
      </c>
      <c r="AN105" s="30">
        <v>42917</v>
      </c>
      <c r="AO105" s="21">
        <v>36</v>
      </c>
      <c r="AP105" s="21" t="s">
        <v>2323</v>
      </c>
      <c r="AS105" s="30"/>
      <c r="AT105" t="s">
        <v>943</v>
      </c>
      <c r="AU105" s="21" t="s">
        <v>974</v>
      </c>
      <c r="AW105" s="21" t="s">
        <v>2521</v>
      </c>
      <c r="AX105" s="30">
        <v>42878</v>
      </c>
      <c r="AY105" s="21" t="s">
        <v>2526</v>
      </c>
      <c r="AZ105" s="21" t="s">
        <v>2523</v>
      </c>
      <c r="BA105" s="21">
        <v>12</v>
      </c>
      <c r="BG105" s="30"/>
      <c r="BP105" s="30"/>
      <c r="BU105" t="s">
        <v>1450</v>
      </c>
      <c r="BV105" s="21" t="s">
        <v>1451</v>
      </c>
      <c r="BW105" s="21" t="s">
        <v>2321</v>
      </c>
      <c r="BX105" s="21" t="s">
        <v>2322</v>
      </c>
      <c r="BY105" s="31">
        <v>1493022</v>
      </c>
      <c r="BZ105" s="31">
        <v>1493022</v>
      </c>
      <c r="CA105" t="s">
        <v>1995</v>
      </c>
      <c r="CF105" s="31"/>
      <c r="CG105" s="31"/>
      <c r="CM105" s="31"/>
      <c r="CN105" s="31"/>
      <c r="CT105" s="31"/>
      <c r="CU105" s="31"/>
      <c r="CV105" s="31"/>
      <c r="DA105" s="31"/>
      <c r="DB105" s="31"/>
      <c r="DC105" s="31"/>
      <c r="DH105" s="31"/>
      <c r="DI105" s="31"/>
      <c r="DO105" s="31"/>
      <c r="DP105" s="31"/>
      <c r="DR105" t="s">
        <v>2519</v>
      </c>
      <c r="DS105" t="s">
        <v>837</v>
      </c>
      <c r="DT105" t="s">
        <v>902</v>
      </c>
      <c r="DU105" s="29" t="s">
        <v>2531</v>
      </c>
      <c r="DV105" t="s">
        <v>1971</v>
      </c>
      <c r="DW105" t="s">
        <v>366</v>
      </c>
      <c r="DX105" t="s">
        <v>171</v>
      </c>
      <c r="DY105" t="s">
        <v>168</v>
      </c>
      <c r="DZ105" t="s">
        <v>169</v>
      </c>
      <c r="EA105" s="22">
        <v>43077.177256944444</v>
      </c>
      <c r="EB105" t="s">
        <v>2324</v>
      </c>
      <c r="EC105" t="s">
        <v>2612</v>
      </c>
    </row>
    <row r="106" spans="1:133">
      <c r="A106" s="30">
        <v>42955.723368055558</v>
      </c>
      <c r="B106" s="22">
        <v>42809.811805555553</v>
      </c>
      <c r="C106" s="22" t="s">
        <v>1965</v>
      </c>
      <c r="D106" s="30" t="s">
        <v>741</v>
      </c>
      <c r="E106" s="30" t="s">
        <v>901</v>
      </c>
      <c r="F106" s="30" t="s">
        <v>170</v>
      </c>
      <c r="G106" s="30" t="s">
        <v>1966</v>
      </c>
      <c r="H106" t="s">
        <v>94</v>
      </c>
      <c r="I106" t="s">
        <v>1967</v>
      </c>
      <c r="J106" t="s">
        <v>942</v>
      </c>
      <c r="K106" s="22">
        <v>42954.406631944446</v>
      </c>
      <c r="L106">
        <v>1</v>
      </c>
      <c r="M106" s="26">
        <v>4</v>
      </c>
      <c r="N106" t="s">
        <v>975</v>
      </c>
      <c r="Q106" s="29" t="s">
        <v>13</v>
      </c>
      <c r="R106" s="29" t="str">
        <f>IFERROR(MID(RADataTable[[#This Row],[RAtemplate]],1,LEN(RADataTable[[#This Row],[RAtemplate]])-8),"RA") &amp; " " &amp; RADataTable[[#This Row],[prop_id0]] &amp; " " &amp; RADataTable[[#This Row],[last0]]</f>
        <v>RA 1740859 Wilson</v>
      </c>
      <c r="U106" s="21" t="str">
        <f>IF(signer1="PD",IF(ISBLANK(RADataTable[[#This Row],[sign_blck_name]]),"",RADataTable[[#This Row],[sign_blck_name]]),IF(ISBLANK(signer1),"",signer1))</f>
        <v>Nandini Kannan</v>
      </c>
      <c r="V106" s="29" t="str">
        <f>signer2</f>
        <v>Cognizant Program Director</v>
      </c>
      <c r="W106" s="15" t="str">
        <f>HYPERLINK("https://www.ejacket.nsf.gov/ej/showProposal.do?Continue=Y&amp;ID="&amp;RADataTable[[#This Row],[prop_id0]],"eJ")</f>
        <v>eJ</v>
      </c>
      <c r="X106" s="15" t="str">
        <f>HYPERLINK("mailto:"&amp;RADataTable[[#This Row],[email]]&amp;"&amp;subject=Your NSF Proposal:  "&amp;RADataTable[[#This Row],[Div]]&amp;" "&amp;RADataTable[[#This Row],[prop_id0]], RADataTable[[#This Row],[email]])</f>
        <v>jdwilson4@usfca.edu</v>
      </c>
      <c r="Y106" s="15" t="str">
        <f>HYPERLINK("mailto:"&amp;RADataTable[[#This Row],[allPIemail]]&amp;"&amp;subject=NSF Proposal:  "&amp;RADataTable[[#This Row],[Div]]&amp;" "&amp;RADataTable[[#This Row],[prop_id0]], "PIs@")</f>
        <v>PIs@</v>
      </c>
      <c r="Z106" t="s">
        <v>742</v>
      </c>
      <c r="AA106" t="s">
        <v>1474</v>
      </c>
      <c r="AB106">
        <v>3</v>
      </c>
      <c r="AD106"/>
      <c r="AE106" s="21" t="str">
        <f>IF(RADataTable[[#This Row],[maxScore]]-RADataTable[[#This Row],[minScore]]&gt;4,"Y","")</f>
        <v/>
      </c>
      <c r="AF106" s="21">
        <v>1</v>
      </c>
      <c r="AG106" s="26">
        <v>3.6666666666666665</v>
      </c>
      <c r="AH106">
        <v>5</v>
      </c>
      <c r="AI106" t="s">
        <v>2138</v>
      </c>
      <c r="AJ106" s="30">
        <v>42878.491666666669</v>
      </c>
      <c r="AK106" s="13">
        <v>1371814</v>
      </c>
      <c r="AL106" s="13">
        <v>1371814</v>
      </c>
      <c r="AM106">
        <v>0</v>
      </c>
      <c r="AN106" s="30">
        <v>43009</v>
      </c>
      <c r="AO106" s="21">
        <v>36</v>
      </c>
      <c r="AP106" s="21" t="s">
        <v>2336</v>
      </c>
      <c r="AS106" s="30"/>
      <c r="AT106" t="s">
        <v>943</v>
      </c>
      <c r="AU106" s="21" t="s">
        <v>974</v>
      </c>
      <c r="AW106" s="21" t="s">
        <v>2521</v>
      </c>
      <c r="AX106" s="30">
        <v>42878</v>
      </c>
      <c r="AY106" s="21" t="s">
        <v>2558</v>
      </c>
      <c r="AZ106" s="21" t="s">
        <v>2523</v>
      </c>
      <c r="BA106" s="21">
        <v>12</v>
      </c>
      <c r="BG106" s="30"/>
      <c r="BP106" s="30"/>
      <c r="BU106" t="s">
        <v>1474</v>
      </c>
      <c r="BV106" s="21" t="s">
        <v>1475</v>
      </c>
      <c r="BW106" s="21" t="s">
        <v>2334</v>
      </c>
      <c r="BX106" s="21" t="s">
        <v>2335</v>
      </c>
      <c r="BY106" s="31">
        <v>1371814</v>
      </c>
      <c r="BZ106" s="31">
        <v>1371814</v>
      </c>
      <c r="CA106" t="s">
        <v>1968</v>
      </c>
      <c r="CF106" s="31"/>
      <c r="CG106" s="31"/>
      <c r="CM106" s="31"/>
      <c r="CN106" s="31"/>
      <c r="CT106" s="31"/>
      <c r="CU106" s="31"/>
      <c r="CV106" s="31"/>
      <c r="DA106" s="31"/>
      <c r="DB106" s="31"/>
      <c r="DC106" s="31"/>
      <c r="DH106" s="31"/>
      <c r="DI106" s="31"/>
      <c r="DO106" s="31"/>
      <c r="DP106" s="31"/>
      <c r="DR106" t="s">
        <v>2519</v>
      </c>
      <c r="DS106" t="s">
        <v>837</v>
      </c>
      <c r="DT106" t="s">
        <v>902</v>
      </c>
      <c r="DU106" s="29" t="s">
        <v>2531</v>
      </c>
      <c r="DV106" t="s">
        <v>1971</v>
      </c>
      <c r="DW106" t="s">
        <v>366</v>
      </c>
      <c r="DX106" t="s">
        <v>171</v>
      </c>
      <c r="DY106" t="s">
        <v>168</v>
      </c>
      <c r="DZ106" t="s">
        <v>169</v>
      </c>
      <c r="EA106" s="22">
        <v>43077.177256944444</v>
      </c>
      <c r="EB106" t="s">
        <v>2337</v>
      </c>
      <c r="EC106" t="s">
        <v>2616</v>
      </c>
    </row>
    <row r="107" spans="1:133">
      <c r="A107" s="30"/>
      <c r="B107" s="22">
        <v>42954.500694444447</v>
      </c>
      <c r="C107" s="22" t="s">
        <v>808</v>
      </c>
      <c r="D107" s="30" t="s">
        <v>741</v>
      </c>
      <c r="E107" s="30" t="s">
        <v>526</v>
      </c>
      <c r="F107" s="30" t="s">
        <v>170</v>
      </c>
      <c r="G107" s="30" t="s">
        <v>172</v>
      </c>
      <c r="H107" t="s">
        <v>94</v>
      </c>
      <c r="I107" t="s">
        <v>809</v>
      </c>
      <c r="J107" t="s">
        <v>1530</v>
      </c>
      <c r="L107">
        <v>1</v>
      </c>
      <c r="M107" s="26">
        <v>4.05</v>
      </c>
      <c r="N107" t="s">
        <v>344</v>
      </c>
      <c r="Q107" s="29" t="s">
        <v>13</v>
      </c>
      <c r="R107" s="29" t="str">
        <f>IFERROR(MID(RADataTable[[#This Row],[RAtemplate]],1,LEN(RADataTable[[#This Row],[RAtemplate]])-8),"RA") &amp; " " &amp; RADataTable[[#This Row],[prop_id0]] &amp; " " &amp; RADataTable[[#This Row],[last0]]</f>
        <v>RA 1755481 Wang</v>
      </c>
      <c r="U107" s="21" t="str">
        <f>IF(signer1="PD",IF(ISBLANK(RADataTable[[#This Row],[sign_blck_name]]),"",RADataTable[[#This Row],[sign_blck_name]]),IF(ISBLANK(signer1),"",signer1))</f>
        <v>Rahul Shah</v>
      </c>
      <c r="V107" s="29" t="str">
        <f>signer2</f>
        <v>Cognizant Program Director</v>
      </c>
      <c r="W107" s="15" t="str">
        <f>HYPERLINK("https://www.ejacket.nsf.gov/ej/showProposal.do?Continue=Y&amp;ID="&amp;RADataTable[[#This Row],[prop_id0]],"eJ")</f>
        <v>eJ</v>
      </c>
      <c r="X107" s="15" t="str">
        <f>HYPERLINK("mailto:"&amp;RADataTable[[#This Row],[email]]&amp;"&amp;subject=Your NSF Proposal:  "&amp;RADataTable[[#This Row],[Div]]&amp;" "&amp;RADataTable[[#This Row],[prop_id0]], RADataTable[[#This Row],[email]])</f>
        <v>kwang@georgiasouthern.edu</v>
      </c>
      <c r="Y107" s="15" t="str">
        <f>HYPERLINK("mailto:"&amp;RADataTable[[#This Row],[allPIemail]]&amp;"&amp;subject=NSF Proposal:  "&amp;RADataTable[[#This Row],[Div]]&amp;" "&amp;RADataTable[[#This Row],[prop_id0]], "PIs@")</f>
        <v>PIs@</v>
      </c>
      <c r="Z107" t="s">
        <v>742</v>
      </c>
      <c r="AA107" t="s">
        <v>1854</v>
      </c>
      <c r="AB107">
        <v>4</v>
      </c>
      <c r="AD107"/>
      <c r="AE107" s="21" t="str">
        <f>IF(RADataTable[[#This Row],[maxScore]]-RADataTable[[#This Row],[minScore]]&gt;4,"Y","")</f>
        <v/>
      </c>
      <c r="AF107" s="21">
        <v>3</v>
      </c>
      <c r="AG107" s="26">
        <v>3.25</v>
      </c>
      <c r="AH107">
        <v>4</v>
      </c>
      <c r="AI107" t="s">
        <v>2479</v>
      </c>
      <c r="AJ107" s="30">
        <v>43031.775694444441</v>
      </c>
      <c r="AK107" s="13">
        <v>168126</v>
      </c>
      <c r="AL107" s="13">
        <v>168126</v>
      </c>
      <c r="AM107">
        <v>0</v>
      </c>
      <c r="AN107" s="30">
        <v>43101</v>
      </c>
      <c r="AO107" s="21">
        <v>24</v>
      </c>
      <c r="AP107" s="21" t="s">
        <v>2480</v>
      </c>
      <c r="AS107" s="30"/>
      <c r="AT107" t="s">
        <v>544</v>
      </c>
      <c r="AU107" s="21" t="s">
        <v>365</v>
      </c>
      <c r="AV107" s="21">
        <v>5</v>
      </c>
      <c r="AW107" s="21" t="s">
        <v>839</v>
      </c>
      <c r="AX107" s="30">
        <v>43032</v>
      </c>
      <c r="AY107" s="21" t="s">
        <v>2688</v>
      </c>
      <c r="AZ107" s="21" t="s">
        <v>841</v>
      </c>
      <c r="BA107" s="21">
        <v>14</v>
      </c>
      <c r="BG107" s="30"/>
      <c r="BP107" s="30"/>
      <c r="BU107" t="s">
        <v>1854</v>
      </c>
      <c r="BV107" s="21" t="s">
        <v>336</v>
      </c>
      <c r="BW107" s="21" t="s">
        <v>2478</v>
      </c>
      <c r="BX107" s="21" t="s">
        <v>2475</v>
      </c>
      <c r="BY107" s="31">
        <v>168126</v>
      </c>
      <c r="BZ107" s="31">
        <v>168126</v>
      </c>
      <c r="CA107" t="s">
        <v>810</v>
      </c>
      <c r="CF107" s="31"/>
      <c r="CG107" s="31"/>
      <c r="CM107" s="31"/>
      <c r="CN107" s="31"/>
      <c r="CT107" s="31"/>
      <c r="CU107" s="31"/>
      <c r="CV107" s="31"/>
      <c r="DA107" s="31"/>
      <c r="DB107" s="31"/>
      <c r="DC107" s="31"/>
      <c r="DH107" s="31"/>
      <c r="DI107" s="31"/>
      <c r="DO107" s="31"/>
      <c r="DP107" s="31"/>
      <c r="DR107" t="s">
        <v>869</v>
      </c>
      <c r="DS107" t="s">
        <v>837</v>
      </c>
      <c r="DT107" t="s">
        <v>527</v>
      </c>
      <c r="DU107" s="29" t="s">
        <v>2627</v>
      </c>
      <c r="DV107" t="s">
        <v>173</v>
      </c>
      <c r="DW107" t="s">
        <v>366</v>
      </c>
      <c r="DX107" t="s">
        <v>171</v>
      </c>
      <c r="DY107" t="s">
        <v>168</v>
      </c>
      <c r="DZ107" t="s">
        <v>169</v>
      </c>
      <c r="EA107" s="22">
        <v>43077.177256944444</v>
      </c>
      <c r="EB107" t="s">
        <v>2481</v>
      </c>
      <c r="EC107" t="s">
        <v>2689</v>
      </c>
    </row>
    <row r="108" spans="1:133">
      <c r="A108" s="30"/>
      <c r="B108" s="22">
        <v>42956.647916666669</v>
      </c>
      <c r="C108" s="22" t="s">
        <v>808</v>
      </c>
      <c r="D108" s="30" t="s">
        <v>741</v>
      </c>
      <c r="E108" s="30" t="s">
        <v>526</v>
      </c>
      <c r="F108" s="30" t="s">
        <v>170</v>
      </c>
      <c r="G108" s="30" t="s">
        <v>172</v>
      </c>
      <c r="H108" t="s">
        <v>94</v>
      </c>
      <c r="I108" t="s">
        <v>809</v>
      </c>
      <c r="J108" t="s">
        <v>540</v>
      </c>
      <c r="L108">
        <v>1</v>
      </c>
      <c r="M108" s="26">
        <v>4.05</v>
      </c>
      <c r="N108" t="s">
        <v>344</v>
      </c>
      <c r="Q108" s="29" t="s">
        <v>13</v>
      </c>
      <c r="R108" s="29" t="str">
        <f>IFERROR(MID(RADataTable[[#This Row],[RAtemplate]],1,LEN(RADataTable[[#This Row],[RAtemplate]])-8),"RA") &amp; " " &amp; RADataTable[[#This Row],[prop_id0]] &amp; " " &amp; RADataTable[[#This Row],[last0]]</f>
        <v>RA 1755881 San</v>
      </c>
      <c r="U108" s="21" t="str">
        <f>IF(signer1="PD",IF(ISBLANK(RADataTable[[#This Row],[sign_blck_name]]),"",RADataTable[[#This Row],[sign_blck_name]]),IF(ISBLANK(signer1),"",signer1))</f>
        <v>Jack Snoeyink</v>
      </c>
      <c r="V108" s="29" t="str">
        <f>signer2</f>
        <v>Cognizant Program Director</v>
      </c>
      <c r="W108" s="15" t="str">
        <f>HYPERLINK("https://www.ejacket.nsf.gov/ej/showProposal.do?Continue=Y&amp;ID="&amp;RADataTable[[#This Row],[prop_id0]],"eJ")</f>
        <v>eJ</v>
      </c>
      <c r="X108" s="15" t="str">
        <f>HYPERLINK("mailto:"&amp;RADataTable[[#This Row],[email]]&amp;"&amp;subject=Your NSF Proposal:  "&amp;RADataTable[[#This Row],[Div]]&amp;" "&amp;RADataTable[[#This Row],[prop_id0]], RADataTable[[#This Row],[email]])</f>
        <v>osan@okstate.edu</v>
      </c>
      <c r="Y108" s="15" t="str">
        <f>HYPERLINK("mailto:"&amp;RADataTable[[#This Row],[allPIemail]]&amp;"&amp;subject=NSF Proposal:  "&amp;RADataTable[[#This Row],[Div]]&amp;" "&amp;RADataTable[[#This Row],[prop_id0]], "PIs@")</f>
        <v>PIs@</v>
      </c>
      <c r="Z108" t="s">
        <v>742</v>
      </c>
      <c r="AA108" t="s">
        <v>716</v>
      </c>
      <c r="AB108">
        <v>3</v>
      </c>
      <c r="AC108">
        <v>3</v>
      </c>
      <c r="AD108"/>
      <c r="AE108" s="21" t="str">
        <f>IF(RADataTable[[#This Row],[maxScore]]-RADataTable[[#This Row],[minScore]]&gt;4,"Y","")</f>
        <v>Y</v>
      </c>
      <c r="AF108" s="21">
        <v>3</v>
      </c>
      <c r="AG108" s="26">
        <v>5.333333333333333</v>
      </c>
      <c r="AH108">
        <v>8</v>
      </c>
      <c r="AI108" t="s">
        <v>824</v>
      </c>
      <c r="AJ108" s="30">
        <v>43031.741666666669</v>
      </c>
      <c r="AK108" s="13">
        <v>170144</v>
      </c>
      <c r="AL108" s="13">
        <v>170144</v>
      </c>
      <c r="AM108">
        <v>0</v>
      </c>
      <c r="AN108" s="30">
        <v>43252</v>
      </c>
      <c r="AO108" s="21">
        <v>24</v>
      </c>
      <c r="AP108" s="21" t="s">
        <v>825</v>
      </c>
      <c r="AS108" s="30"/>
      <c r="AT108" t="s">
        <v>544</v>
      </c>
      <c r="AU108" s="21" t="s">
        <v>365</v>
      </c>
      <c r="AV108" s="21">
        <v>5</v>
      </c>
      <c r="AW108" s="21" t="s">
        <v>839</v>
      </c>
      <c r="AX108" s="30">
        <v>43032</v>
      </c>
      <c r="AY108" s="21" t="s">
        <v>873</v>
      </c>
      <c r="AZ108" s="21" t="s">
        <v>841</v>
      </c>
      <c r="BA108" s="21">
        <v>14</v>
      </c>
      <c r="BG108" s="30"/>
      <c r="BP108" s="30"/>
      <c r="BU108" t="s">
        <v>716</v>
      </c>
      <c r="BV108" s="21" t="s">
        <v>717</v>
      </c>
      <c r="BW108" s="21" t="s">
        <v>822</v>
      </c>
      <c r="BX108" s="21" t="s">
        <v>823</v>
      </c>
      <c r="BY108" s="31">
        <v>170144</v>
      </c>
      <c r="BZ108" s="31">
        <v>170144</v>
      </c>
      <c r="CA108" t="s">
        <v>821</v>
      </c>
      <c r="CF108" s="31"/>
      <c r="CG108" s="31"/>
      <c r="CM108" s="31"/>
      <c r="CN108" s="31"/>
      <c r="CT108" s="31"/>
      <c r="CU108" s="31"/>
      <c r="CV108" s="31"/>
      <c r="DA108" s="31"/>
      <c r="DB108" s="31"/>
      <c r="DC108" s="31"/>
      <c r="DH108" s="31"/>
      <c r="DI108" s="31"/>
      <c r="DO108" s="31"/>
      <c r="DP108" s="31"/>
      <c r="DR108" t="s">
        <v>869</v>
      </c>
      <c r="DS108" t="s">
        <v>837</v>
      </c>
      <c r="DT108" t="s">
        <v>527</v>
      </c>
      <c r="DU108" s="29" t="s">
        <v>838</v>
      </c>
      <c r="DV108" t="s">
        <v>173</v>
      </c>
      <c r="DW108" t="s">
        <v>366</v>
      </c>
      <c r="DX108" t="s">
        <v>171</v>
      </c>
      <c r="DY108" t="s">
        <v>168</v>
      </c>
      <c r="DZ108" t="s">
        <v>169</v>
      </c>
      <c r="EA108" s="22">
        <v>43077.177256944444</v>
      </c>
      <c r="EB108" t="s">
        <v>826</v>
      </c>
      <c r="EC108" t="s">
        <v>874</v>
      </c>
    </row>
    <row r="109" spans="1:133">
      <c r="A109" s="30"/>
      <c r="B109" s="22">
        <v>42956.697222222225</v>
      </c>
      <c r="C109" s="22" t="s">
        <v>808</v>
      </c>
      <c r="D109" s="30" t="s">
        <v>741</v>
      </c>
      <c r="E109" s="30" t="s">
        <v>526</v>
      </c>
      <c r="F109" s="30" t="s">
        <v>170</v>
      </c>
      <c r="G109" s="30" t="s">
        <v>172</v>
      </c>
      <c r="H109" t="s">
        <v>94</v>
      </c>
      <c r="I109" t="s">
        <v>809</v>
      </c>
      <c r="J109" t="s">
        <v>540</v>
      </c>
      <c r="K109" s="22">
        <v>43076.608877314815</v>
      </c>
      <c r="L109">
        <v>1</v>
      </c>
      <c r="M109" s="26">
        <v>4.05</v>
      </c>
      <c r="N109" t="s">
        <v>344</v>
      </c>
      <c r="Q109" s="29" t="s">
        <v>13</v>
      </c>
      <c r="R109" s="29" t="str">
        <f>IFERROR(MID(RADataTable[[#This Row],[RAtemplate]],1,LEN(RADataTable[[#This Row],[RAtemplate]])-8),"RA") &amp; " " &amp; RADataTable[[#This Row],[prop_id0]] &amp; " " &amp; RADataTable[[#This Row],[last0]]</f>
        <v>RA 1755954 Hajimirza</v>
      </c>
      <c r="U109" s="21" t="str">
        <f>IF(signer1="PD",IF(ISBLANK(RADataTable[[#This Row],[sign_blck_name]]),"",RADataTable[[#This Row],[sign_blck_name]]),IF(ISBLANK(signer1),"",signer1))</f>
        <v>Jack Snoeyink</v>
      </c>
      <c r="V109" s="29" t="str">
        <f>signer2</f>
        <v>Cognizant Program Director</v>
      </c>
      <c r="W109" s="15" t="str">
        <f>HYPERLINK("https://www.ejacket.nsf.gov/ej/showProposal.do?Continue=Y&amp;ID="&amp;RADataTable[[#This Row],[prop_id0]],"eJ")</f>
        <v>eJ</v>
      </c>
      <c r="X109" s="15" t="str">
        <f>HYPERLINK("mailto:"&amp;RADataTable[[#This Row],[email]]&amp;"&amp;subject=Your NSF Proposal:  "&amp;RADataTable[[#This Row],[Div]]&amp;" "&amp;RADataTable[[#This Row],[prop_id0]], RADataTable[[#This Row],[email]])</f>
        <v>shima.hm@tamu.edu</v>
      </c>
      <c r="Y109" s="15" t="str">
        <f>HYPERLINK("mailto:"&amp;RADataTable[[#This Row],[allPIemail]]&amp;"&amp;subject=NSF Proposal:  "&amp;RADataTable[[#This Row],[Div]]&amp;" "&amp;RADataTable[[#This Row],[prop_id0]], "PIs@")</f>
        <v>PIs@</v>
      </c>
      <c r="Z109" t="s">
        <v>742</v>
      </c>
      <c r="AA109" t="s">
        <v>723</v>
      </c>
      <c r="AB109">
        <v>3</v>
      </c>
      <c r="AC109">
        <v>3</v>
      </c>
      <c r="AD109"/>
      <c r="AE109" s="21" t="str">
        <f>IF(RADataTable[[#This Row],[maxScore]]-RADataTable[[#This Row],[minScore]]&gt;4,"Y","")</f>
        <v/>
      </c>
      <c r="AF109" s="21">
        <v>4</v>
      </c>
      <c r="AG109" s="26">
        <v>5.333333333333333</v>
      </c>
      <c r="AH109">
        <v>7</v>
      </c>
      <c r="AI109" t="s">
        <v>829</v>
      </c>
      <c r="AJ109" s="30">
        <v>43032.675694444442</v>
      </c>
      <c r="AK109" s="13">
        <v>175000</v>
      </c>
      <c r="AL109" s="13">
        <v>175000</v>
      </c>
      <c r="AM109">
        <v>0</v>
      </c>
      <c r="AN109" s="30">
        <v>43252</v>
      </c>
      <c r="AO109" s="21">
        <v>24</v>
      </c>
      <c r="AP109" s="21" t="s">
        <v>830</v>
      </c>
      <c r="AS109" s="30"/>
      <c r="AT109" t="s">
        <v>544</v>
      </c>
      <c r="AU109" s="21" t="s">
        <v>365</v>
      </c>
      <c r="AV109" s="21">
        <v>5</v>
      </c>
      <c r="AW109" s="21" t="s">
        <v>839</v>
      </c>
      <c r="AX109" s="30">
        <v>43032</v>
      </c>
      <c r="AY109" s="21" t="s">
        <v>875</v>
      </c>
      <c r="AZ109" s="21" t="s">
        <v>841</v>
      </c>
      <c r="BA109" s="21">
        <v>14</v>
      </c>
      <c r="BG109" s="30"/>
      <c r="BP109" s="30"/>
      <c r="BU109" t="s">
        <v>723</v>
      </c>
      <c r="BV109" s="21" t="s">
        <v>724</v>
      </c>
      <c r="BW109" s="21" t="s">
        <v>827</v>
      </c>
      <c r="BX109" s="21" t="s">
        <v>828</v>
      </c>
      <c r="BY109" s="31">
        <v>175000</v>
      </c>
      <c r="BZ109" s="31">
        <v>175000</v>
      </c>
      <c r="CA109" t="s">
        <v>816</v>
      </c>
      <c r="CF109" s="31"/>
      <c r="CG109" s="31"/>
      <c r="CM109" s="31"/>
      <c r="CN109" s="31"/>
      <c r="CT109" s="31"/>
      <c r="CU109" s="31"/>
      <c r="CV109" s="31"/>
      <c r="DA109" s="31"/>
      <c r="DB109" s="31"/>
      <c r="DC109" s="31"/>
      <c r="DH109" s="31"/>
      <c r="DI109" s="31"/>
      <c r="DO109" s="31"/>
      <c r="DP109" s="31"/>
      <c r="DR109" t="s">
        <v>869</v>
      </c>
      <c r="DS109" t="s">
        <v>837</v>
      </c>
      <c r="DT109" t="s">
        <v>527</v>
      </c>
      <c r="DU109" s="29" t="s">
        <v>838</v>
      </c>
      <c r="DV109" t="s">
        <v>173</v>
      </c>
      <c r="DW109" t="s">
        <v>366</v>
      </c>
      <c r="DX109" t="s">
        <v>171</v>
      </c>
      <c r="DY109" t="s">
        <v>168</v>
      </c>
      <c r="DZ109" t="s">
        <v>169</v>
      </c>
      <c r="EA109" s="22">
        <v>43077.177256944444</v>
      </c>
      <c r="EB109" t="s">
        <v>831</v>
      </c>
      <c r="EC109" t="s">
        <v>876</v>
      </c>
    </row>
    <row r="110" spans="1:133">
      <c r="A110" s="30"/>
      <c r="B110" s="22">
        <v>42956.717361111114</v>
      </c>
      <c r="C110" s="22" t="s">
        <v>808</v>
      </c>
      <c r="D110" s="30" t="s">
        <v>741</v>
      </c>
      <c r="E110" s="30" t="s">
        <v>526</v>
      </c>
      <c r="F110" s="30" t="s">
        <v>170</v>
      </c>
      <c r="G110" s="30" t="s">
        <v>172</v>
      </c>
      <c r="H110" t="s">
        <v>94</v>
      </c>
      <c r="I110" t="s">
        <v>809</v>
      </c>
      <c r="J110" t="s">
        <v>540</v>
      </c>
      <c r="K110" s="22">
        <v>43076.608923611115</v>
      </c>
      <c r="L110">
        <v>1</v>
      </c>
      <c r="M110" s="26">
        <v>4.05</v>
      </c>
      <c r="N110" t="s">
        <v>344</v>
      </c>
      <c r="Q110" s="29" t="s">
        <v>13</v>
      </c>
      <c r="R110" s="29" t="str">
        <f>IFERROR(MID(RADataTable[[#This Row],[RAtemplate]],1,LEN(RADataTable[[#This Row],[RAtemplate]])-8),"RA") &amp; " " &amp; RADataTable[[#This Row],[prop_id0]] &amp; " " &amp; RADataTable[[#This Row],[last0]]</f>
        <v>RA 1755978 Gangammanavar</v>
      </c>
      <c r="U110" s="21" t="str">
        <f>IF(signer1="PD",IF(ISBLANK(RADataTable[[#This Row],[sign_blck_name]]),"",RADataTable[[#This Row],[sign_blck_name]]),IF(ISBLANK(signer1),"",signer1))</f>
        <v>Jack Snoeyink</v>
      </c>
      <c r="V110" s="29" t="str">
        <f>signer2</f>
        <v>Cognizant Program Director</v>
      </c>
      <c r="W110" s="15" t="str">
        <f>HYPERLINK("https://www.ejacket.nsf.gov/ej/showProposal.do?Continue=Y&amp;ID="&amp;RADataTable[[#This Row],[prop_id0]],"eJ")</f>
        <v>eJ</v>
      </c>
      <c r="X110" s="15" t="str">
        <f>HYPERLINK("mailto:"&amp;RADataTable[[#This Row],[email]]&amp;"&amp;subject=Your NSF Proposal:  "&amp;RADataTable[[#This Row],[Div]]&amp;" "&amp;RADataTable[[#This Row],[prop_id0]], RADataTable[[#This Row],[email]])</f>
        <v>harsha@smu.edu</v>
      </c>
      <c r="Y110" s="15" t="str">
        <f>HYPERLINK("mailto:"&amp;RADataTable[[#This Row],[allPIemail]]&amp;"&amp;subject=NSF Proposal:  "&amp;RADataTable[[#This Row],[Div]]&amp;" "&amp;RADataTable[[#This Row],[prop_id0]], "PIs@")</f>
        <v>PIs@</v>
      </c>
      <c r="Z110" t="s">
        <v>742</v>
      </c>
      <c r="AA110" t="s">
        <v>734</v>
      </c>
      <c r="AB110">
        <v>3</v>
      </c>
      <c r="AC110">
        <v>3</v>
      </c>
      <c r="AD110"/>
      <c r="AE110" s="21" t="str">
        <f>IF(RADataTable[[#This Row],[maxScore]]-RADataTable[[#This Row],[minScore]]&gt;4,"Y","")</f>
        <v/>
      </c>
      <c r="AF110" s="21">
        <v>3</v>
      </c>
      <c r="AG110" s="26">
        <v>4.666666666666667</v>
      </c>
      <c r="AH110">
        <v>6</v>
      </c>
      <c r="AI110" t="s">
        <v>834</v>
      </c>
      <c r="AJ110" s="30">
        <v>43031.75</v>
      </c>
      <c r="AK110" s="13">
        <v>175000</v>
      </c>
      <c r="AL110" s="13">
        <v>175000</v>
      </c>
      <c r="AM110">
        <v>0</v>
      </c>
      <c r="AN110" s="30">
        <v>43101</v>
      </c>
      <c r="AO110" s="21">
        <v>24</v>
      </c>
      <c r="AP110" s="21" t="s">
        <v>835</v>
      </c>
      <c r="AS110" s="30"/>
      <c r="AT110" t="s">
        <v>544</v>
      </c>
      <c r="AU110" s="21" t="s">
        <v>365</v>
      </c>
      <c r="AV110" s="21">
        <v>5</v>
      </c>
      <c r="AW110" s="21" t="s">
        <v>839</v>
      </c>
      <c r="AX110" s="30">
        <v>43032</v>
      </c>
      <c r="AY110" s="21" t="s">
        <v>877</v>
      </c>
      <c r="AZ110" s="21" t="s">
        <v>841</v>
      </c>
      <c r="BA110" s="21">
        <v>14</v>
      </c>
      <c r="BG110" s="30"/>
      <c r="BP110" s="30"/>
      <c r="BU110" t="s">
        <v>734</v>
      </c>
      <c r="BV110" s="21" t="s">
        <v>735</v>
      </c>
      <c r="BW110" s="21" t="s">
        <v>832</v>
      </c>
      <c r="BX110" s="21" t="s">
        <v>833</v>
      </c>
      <c r="BY110" s="31">
        <v>175000</v>
      </c>
      <c r="BZ110" s="31">
        <v>175000</v>
      </c>
      <c r="CA110" t="s">
        <v>538</v>
      </c>
      <c r="CF110" s="31"/>
      <c r="CG110" s="31"/>
      <c r="CM110" s="31"/>
      <c r="CN110" s="31"/>
      <c r="CT110" s="31"/>
      <c r="CU110" s="31"/>
      <c r="CV110" s="31"/>
      <c r="DA110" s="31"/>
      <c r="DB110" s="31"/>
      <c r="DC110" s="31"/>
      <c r="DH110" s="31"/>
      <c r="DI110" s="31"/>
      <c r="DO110" s="31"/>
      <c r="DP110" s="31"/>
      <c r="DR110" t="s">
        <v>869</v>
      </c>
      <c r="DS110" t="s">
        <v>837</v>
      </c>
      <c r="DT110" t="s">
        <v>527</v>
      </c>
      <c r="DU110" s="29" t="s">
        <v>838</v>
      </c>
      <c r="DV110" t="s">
        <v>173</v>
      </c>
      <c r="DW110" t="s">
        <v>366</v>
      </c>
      <c r="DX110" t="s">
        <v>171</v>
      </c>
      <c r="DY110" t="s">
        <v>168</v>
      </c>
      <c r="DZ110" t="s">
        <v>169</v>
      </c>
      <c r="EA110" s="22">
        <v>43077.177256944444</v>
      </c>
      <c r="EB110" t="s">
        <v>836</v>
      </c>
      <c r="EC110" t="s">
        <v>878</v>
      </c>
    </row>
    <row r="111" spans="1:133">
      <c r="A111" s="30"/>
      <c r="B111" s="22">
        <v>42935.654166666667</v>
      </c>
      <c r="C111" s="22" t="s">
        <v>242</v>
      </c>
      <c r="D111" s="30" t="s">
        <v>741</v>
      </c>
      <c r="E111" s="30" t="s">
        <v>528</v>
      </c>
      <c r="F111" s="30" t="s">
        <v>170</v>
      </c>
      <c r="G111" s="30" t="s">
        <v>172</v>
      </c>
      <c r="H111" t="s">
        <v>94</v>
      </c>
      <c r="I111" t="s">
        <v>743</v>
      </c>
      <c r="J111" t="s">
        <v>543</v>
      </c>
      <c r="L111">
        <v>1</v>
      </c>
      <c r="M111" s="26">
        <v>4.18</v>
      </c>
      <c r="N111" t="s">
        <v>344</v>
      </c>
      <c r="Q111" s="29" t="s">
        <v>13</v>
      </c>
      <c r="R111" s="29" t="str">
        <f>IFERROR(MID(RADataTable[[#This Row],[RAtemplate]],1,LEN(RADataTable[[#This Row],[RAtemplate]])-8),"RA") &amp; " " &amp; RADataTable[[#This Row],[prop_id0]] &amp; " " &amp; RADataTable[[#This Row],[last0]]</f>
        <v>RA 1750893 Xie</v>
      </c>
      <c r="U111" s="21" t="str">
        <f>IF(signer1="PD",IF(ISBLANK(RADataTable[[#This Row],[sign_blck_name]]),"",RADataTable[[#This Row],[sign_blck_name]]),IF(ISBLANK(signer1),"",signer1))</f>
        <v>Tracy J. Kimbrel</v>
      </c>
      <c r="V111" s="29" t="str">
        <f>signer2</f>
        <v>Cognizant Program Director</v>
      </c>
      <c r="W111" s="15" t="str">
        <f>HYPERLINK("https://www.ejacket.nsf.gov/ej/showProposal.do?Continue=Y&amp;ID="&amp;RADataTable[[#This Row],[prop_id0]],"eJ")</f>
        <v>eJ</v>
      </c>
      <c r="X111" s="15" t="str">
        <f>HYPERLINK("mailto:"&amp;RADataTable[[#This Row],[email]]&amp;"&amp;subject=Your NSF Proposal:  "&amp;RADataTable[[#This Row],[Div]]&amp;" "&amp;RADataTable[[#This Row],[prop_id0]], RADataTable[[#This Row],[email]])</f>
        <v>nxie@cs.fiu.edu</v>
      </c>
      <c r="Y111" s="15" t="str">
        <f>HYPERLINK("mailto:"&amp;RADataTable[[#This Row],[allPIemail]]&amp;"&amp;subject=NSF Proposal:  "&amp;RADataTable[[#This Row],[Div]]&amp;" "&amp;RADataTable[[#This Row],[prop_id0]], "PIs@")</f>
        <v>PIs@</v>
      </c>
      <c r="Z111" t="s">
        <v>742</v>
      </c>
      <c r="AA111" t="s">
        <v>1753</v>
      </c>
      <c r="AB111">
        <v>4</v>
      </c>
      <c r="AC111">
        <v>4</v>
      </c>
      <c r="AD111"/>
      <c r="AE111" s="21" t="str">
        <f>IF(RADataTable[[#This Row],[maxScore]]-RADataTable[[#This Row],[minScore]]&gt;4,"Y","")</f>
        <v/>
      </c>
      <c r="AF111" s="21">
        <v>3</v>
      </c>
      <c r="AG111" s="26">
        <v>3.5</v>
      </c>
      <c r="AH111">
        <v>5</v>
      </c>
      <c r="AI111" t="s">
        <v>2435</v>
      </c>
      <c r="AJ111" s="30">
        <v>43059.477083333331</v>
      </c>
      <c r="AK111" s="13">
        <v>520820</v>
      </c>
      <c r="AL111" s="13">
        <v>520820</v>
      </c>
      <c r="AM111">
        <v>0</v>
      </c>
      <c r="AN111" s="30">
        <v>43221</v>
      </c>
      <c r="AO111" s="21">
        <v>60</v>
      </c>
      <c r="AP111" s="21" t="s">
        <v>2436</v>
      </c>
      <c r="AQ111">
        <v>1</v>
      </c>
      <c r="AR111" t="s">
        <v>2670</v>
      </c>
      <c r="AS111" s="30">
        <v>43054.683333333334</v>
      </c>
      <c r="AT111" t="s">
        <v>619</v>
      </c>
      <c r="AU111" s="21" t="s">
        <v>365</v>
      </c>
      <c r="AV111" s="21">
        <v>18</v>
      </c>
      <c r="AW111" s="21" t="s">
        <v>852</v>
      </c>
      <c r="AX111" s="30">
        <v>43060</v>
      </c>
      <c r="AY111" s="21" t="s">
        <v>2528</v>
      </c>
      <c r="AZ111" s="21" t="s">
        <v>854</v>
      </c>
      <c r="BA111" s="21">
        <v>12</v>
      </c>
      <c r="BB111" s="21">
        <v>1</v>
      </c>
      <c r="BG111" s="30"/>
      <c r="BP111" s="30"/>
      <c r="BU111" t="s">
        <v>1753</v>
      </c>
      <c r="BV111" s="21" t="s">
        <v>1754</v>
      </c>
      <c r="BW111" s="21" t="s">
        <v>2433</v>
      </c>
      <c r="BX111" s="21" t="s">
        <v>2434</v>
      </c>
      <c r="BY111" s="31">
        <v>520820</v>
      </c>
      <c r="BZ111" s="31">
        <v>520820</v>
      </c>
      <c r="CA111" t="s">
        <v>2365</v>
      </c>
      <c r="CF111" s="31"/>
      <c r="CG111" s="31"/>
      <c r="CM111" s="31"/>
      <c r="CN111" s="31"/>
      <c r="CT111" s="31"/>
      <c r="CU111" s="31"/>
      <c r="CV111" s="31"/>
      <c r="DA111" s="31"/>
      <c r="DB111" s="31"/>
      <c r="DC111" s="31"/>
      <c r="DH111" s="31"/>
      <c r="DI111" s="31"/>
      <c r="DO111" s="31"/>
      <c r="DP111" s="31"/>
      <c r="DR111" t="s">
        <v>246</v>
      </c>
      <c r="DS111" t="s">
        <v>837</v>
      </c>
      <c r="DT111" t="s">
        <v>529</v>
      </c>
      <c r="DU111" s="29" t="s">
        <v>850</v>
      </c>
      <c r="DV111" t="s">
        <v>173</v>
      </c>
      <c r="DW111" t="s">
        <v>366</v>
      </c>
      <c r="DX111" t="s">
        <v>171</v>
      </c>
      <c r="DY111" t="s">
        <v>168</v>
      </c>
      <c r="DZ111" t="s">
        <v>169</v>
      </c>
      <c r="EA111" s="22">
        <v>43077.177256944444</v>
      </c>
      <c r="EB111" t="s">
        <v>2437</v>
      </c>
      <c r="EC111" t="s">
        <v>2671</v>
      </c>
    </row>
    <row r="112" spans="1:133">
      <c r="A112" s="30">
        <v>42957.678148148145</v>
      </c>
      <c r="B112" s="22">
        <v>42807.553472222222</v>
      </c>
      <c r="C112" s="22" t="s">
        <v>1965</v>
      </c>
      <c r="D112" s="30" t="s">
        <v>741</v>
      </c>
      <c r="E112" s="30" t="s">
        <v>901</v>
      </c>
      <c r="F112" s="30" t="s">
        <v>170</v>
      </c>
      <c r="G112" s="30" t="s">
        <v>1966</v>
      </c>
      <c r="H112" t="s">
        <v>94</v>
      </c>
      <c r="I112" t="s">
        <v>1967</v>
      </c>
      <c r="J112" t="s">
        <v>540</v>
      </c>
      <c r="K112" s="22">
        <v>42914.640243055554</v>
      </c>
      <c r="L112">
        <v>1</v>
      </c>
      <c r="M112" s="26">
        <v>4.22</v>
      </c>
      <c r="N112" t="s">
        <v>975</v>
      </c>
      <c r="Q112" s="29" t="s">
        <v>13</v>
      </c>
      <c r="R112" s="29" t="str">
        <f>IFERROR(MID(RADataTable[[#This Row],[RAtemplate]],1,LEN(RADataTable[[#This Row],[RAtemplate]])-8),"RA") &amp; " " &amp; RADataTable[[#This Row],[prop_id0]] &amp; " " &amp; RADataTable[[#This Row],[last0]]</f>
        <v>RA 1740562 Crainiceanu</v>
      </c>
      <c r="U112" s="21" t="str">
        <f>IF(signer1="PD",IF(ISBLANK(RADataTable[[#This Row],[sign_blck_name]]),"",RADataTable[[#This Row],[sign_blck_name]]),IF(ISBLANK(signer1),"",signer1))</f>
        <v>Jack Snoeyink</v>
      </c>
      <c r="V112" s="29" t="str">
        <f>signer2</f>
        <v>Cognizant Program Director</v>
      </c>
      <c r="W112" s="15" t="str">
        <f>HYPERLINK("https://www.ejacket.nsf.gov/ej/showProposal.do?Continue=Y&amp;ID="&amp;RADataTable[[#This Row],[prop_id0]],"eJ")</f>
        <v>eJ</v>
      </c>
      <c r="X112" s="15" t="str">
        <f>HYPERLINK("mailto:"&amp;RADataTable[[#This Row],[email]]&amp;"&amp;subject=Your NSF Proposal:  "&amp;RADataTable[[#This Row],[Div]]&amp;" "&amp;RADataTable[[#This Row],[prop_id0]], RADataTable[[#This Row],[email]])</f>
        <v>ccraini1@jhu.edu</v>
      </c>
      <c r="Y112" s="15" t="str">
        <f>HYPERLINK("mailto:"&amp;RADataTable[[#This Row],[allPIemail]]&amp;"&amp;subject=NSF Proposal:  "&amp;RADataTable[[#This Row],[Div]]&amp;" "&amp;RADataTable[[#This Row],[prop_id0]], "PIs@")</f>
        <v>PIs@</v>
      </c>
      <c r="Z112" t="s">
        <v>742</v>
      </c>
      <c r="AA112" t="s">
        <v>972</v>
      </c>
      <c r="AB112">
        <v>3</v>
      </c>
      <c r="AD112"/>
      <c r="AE112" s="21" t="str">
        <f>IF(RADataTable[[#This Row],[maxScore]]-RADataTable[[#This Row],[minScore]]&gt;4,"Y","")</f>
        <v/>
      </c>
      <c r="AF112" s="21">
        <v>3</v>
      </c>
      <c r="AG112" s="26">
        <v>4.333333333333333</v>
      </c>
      <c r="AH112">
        <v>5</v>
      </c>
      <c r="AI112" t="s">
        <v>1984</v>
      </c>
      <c r="AJ112" s="30">
        <v>42872.39166666667</v>
      </c>
      <c r="AK112" s="13">
        <v>1496103</v>
      </c>
      <c r="AL112" s="13">
        <v>1496103</v>
      </c>
      <c r="AM112">
        <v>0</v>
      </c>
      <c r="AN112" s="30">
        <v>42948</v>
      </c>
      <c r="AO112" s="21">
        <v>36</v>
      </c>
      <c r="AP112" s="21" t="s">
        <v>1985</v>
      </c>
      <c r="AS112" s="30"/>
      <c r="AT112" t="s">
        <v>919</v>
      </c>
      <c r="AU112" s="21" t="s">
        <v>974</v>
      </c>
      <c r="AV112" s="21">
        <v>22</v>
      </c>
      <c r="AW112" s="21" t="s">
        <v>2517</v>
      </c>
      <c r="AX112" s="30">
        <v>42872</v>
      </c>
      <c r="AY112" s="21" t="s">
        <v>2526</v>
      </c>
      <c r="AZ112" s="21" t="s">
        <v>2518</v>
      </c>
      <c r="BA112" s="21">
        <v>12</v>
      </c>
      <c r="BG112" s="30"/>
      <c r="BP112" s="30"/>
      <c r="BU112" t="s">
        <v>972</v>
      </c>
      <c r="BV112" s="21" t="s">
        <v>973</v>
      </c>
      <c r="BW112" s="21" t="s">
        <v>1982</v>
      </c>
      <c r="BX112" s="21" t="s">
        <v>1983</v>
      </c>
      <c r="BY112" s="31">
        <v>748969</v>
      </c>
      <c r="BZ112" s="31">
        <v>748969</v>
      </c>
      <c r="CA112" t="s">
        <v>1968</v>
      </c>
      <c r="CB112" s="21" t="s">
        <v>1990</v>
      </c>
      <c r="CC112" s="21" t="s">
        <v>1991</v>
      </c>
      <c r="CD112" s="21" t="s">
        <v>1992</v>
      </c>
      <c r="CE112" s="21" t="s">
        <v>1993</v>
      </c>
      <c r="CF112" s="31">
        <v>374812</v>
      </c>
      <c r="CG112" s="31">
        <v>374812</v>
      </c>
      <c r="CH112" t="s">
        <v>1987</v>
      </c>
      <c r="CI112" s="21" t="s">
        <v>1996</v>
      </c>
      <c r="CJ112" s="21" t="s">
        <v>1997</v>
      </c>
      <c r="CK112" s="21" t="s">
        <v>1998</v>
      </c>
      <c r="CL112" s="21" t="s">
        <v>1999</v>
      </c>
      <c r="CM112" s="31">
        <v>372322</v>
      </c>
      <c r="CN112" s="31">
        <v>372322</v>
      </c>
      <c r="CO112" t="s">
        <v>1995</v>
      </c>
      <c r="CT112" s="31"/>
      <c r="CU112" s="31"/>
      <c r="CV112" s="31"/>
      <c r="DA112" s="31"/>
      <c r="DB112" s="31"/>
      <c r="DC112" s="31"/>
      <c r="DH112" s="31"/>
      <c r="DI112" s="31"/>
      <c r="DO112" s="31"/>
      <c r="DP112" s="31"/>
      <c r="DR112" t="s">
        <v>2519</v>
      </c>
      <c r="DS112" t="s">
        <v>837</v>
      </c>
      <c r="DT112" t="s">
        <v>902</v>
      </c>
      <c r="DU112" s="29" t="s">
        <v>838</v>
      </c>
      <c r="DV112" t="s">
        <v>1971</v>
      </c>
      <c r="DW112" t="s">
        <v>366</v>
      </c>
      <c r="DX112" t="s">
        <v>171</v>
      </c>
      <c r="DY112" t="s">
        <v>168</v>
      </c>
      <c r="DZ112" t="s">
        <v>169</v>
      </c>
      <c r="EA112" s="22">
        <v>43077.177256944444</v>
      </c>
      <c r="EB112" t="s">
        <v>1986</v>
      </c>
      <c r="EC112" t="s">
        <v>2527</v>
      </c>
    </row>
    <row r="113" spans="1:133">
      <c r="A113" s="30">
        <v>42955.353391203702</v>
      </c>
      <c r="B113" s="22">
        <v>42807.602777777778</v>
      </c>
      <c r="C113" s="22" t="s">
        <v>1965</v>
      </c>
      <c r="D113" s="30" t="s">
        <v>741</v>
      </c>
      <c r="E113" s="30" t="s">
        <v>901</v>
      </c>
      <c r="F113" s="30" t="s">
        <v>170</v>
      </c>
      <c r="G113" s="30" t="s">
        <v>1966</v>
      </c>
      <c r="H113" t="s">
        <v>94</v>
      </c>
      <c r="I113" t="s">
        <v>1967</v>
      </c>
      <c r="J113" t="s">
        <v>543</v>
      </c>
      <c r="K113" s="22">
        <v>42951.514120370368</v>
      </c>
      <c r="L113">
        <v>1</v>
      </c>
      <c r="M113" s="26">
        <v>4.22</v>
      </c>
      <c r="N113" t="s">
        <v>975</v>
      </c>
      <c r="Q113" s="29" t="s">
        <v>13</v>
      </c>
      <c r="R113" s="29" t="str">
        <f>IFERROR(MID(RADataTable[[#This Row],[RAtemplate]],1,LEN(RADataTable[[#This Row],[RAtemplate]])-8),"RA") &amp; " " &amp; RADataTable[[#This Row],[prop_id0]] &amp; " " &amp; RADataTable[[#This Row],[last0]]</f>
        <v>RA 1740576 Sellers</v>
      </c>
      <c r="U113" s="21" t="str">
        <f>IF(signer1="PD",IF(ISBLANK(RADataTable[[#This Row],[sign_blck_name]]),"",RADataTable[[#This Row],[sign_blck_name]]),IF(ISBLANK(signer1),"",signer1))</f>
        <v>Tracy J. Kimbrel</v>
      </c>
      <c r="V113" s="29" t="str">
        <f>signer2</f>
        <v>Cognizant Program Director</v>
      </c>
      <c r="W113" s="15" t="str">
        <f>HYPERLINK("https://www.ejacket.nsf.gov/ej/showProposal.do?Continue=Y&amp;ID="&amp;RADataTable[[#This Row],[prop_id0]],"eJ")</f>
        <v>eJ</v>
      </c>
      <c r="X113" s="15" t="str">
        <f>HYPERLINK("mailto:"&amp;RADataTable[[#This Row],[email]]&amp;"&amp;subject=Your NSF Proposal:  "&amp;RADataTable[[#This Row],[Div]]&amp;" "&amp;RADataTable[[#This Row],[prop_id0]], RADataTable[[#This Row],[email]])</f>
        <v>kfs7@georgetown.edu</v>
      </c>
      <c r="Y113" s="15" t="str">
        <f>HYPERLINK("mailto:"&amp;RADataTable[[#This Row],[allPIemail]]&amp;"&amp;subject=NSF Proposal:  "&amp;RADataTable[[#This Row],[Div]]&amp;" "&amp;RADataTable[[#This Row],[prop_id0]], "PIs@")</f>
        <v>PIs@</v>
      </c>
      <c r="Z113" t="s">
        <v>742</v>
      </c>
      <c r="AA113" t="s">
        <v>985</v>
      </c>
      <c r="AB113">
        <v>3</v>
      </c>
      <c r="AD113"/>
      <c r="AE113" s="21" t="str">
        <f>IF(RADataTable[[#This Row],[maxScore]]-RADataTable[[#This Row],[minScore]]&gt;4,"Y","")</f>
        <v/>
      </c>
      <c r="AF113" s="21">
        <v>3</v>
      </c>
      <c r="AG113" s="26">
        <v>3.6666666666666665</v>
      </c>
      <c r="AH113">
        <v>5</v>
      </c>
      <c r="AI113" t="s">
        <v>2004</v>
      </c>
      <c r="AJ113" s="30">
        <v>42872.458333333336</v>
      </c>
      <c r="AK113" s="13">
        <v>1500000</v>
      </c>
      <c r="AL113" s="13">
        <v>1500000</v>
      </c>
      <c r="AM113">
        <v>0</v>
      </c>
      <c r="AN113" s="30">
        <v>42979</v>
      </c>
      <c r="AO113" s="21">
        <v>36</v>
      </c>
      <c r="AP113" s="21" t="s">
        <v>2005</v>
      </c>
      <c r="AS113" s="30"/>
      <c r="AT113" t="s">
        <v>919</v>
      </c>
      <c r="AU113" s="21" t="s">
        <v>974</v>
      </c>
      <c r="AV113" s="21">
        <v>22</v>
      </c>
      <c r="AW113" s="21" t="s">
        <v>2517</v>
      </c>
      <c r="AX113" s="30">
        <v>42872</v>
      </c>
      <c r="AY113" s="21" t="s">
        <v>2528</v>
      </c>
      <c r="AZ113" s="21" t="s">
        <v>2518</v>
      </c>
      <c r="BA113" s="21">
        <v>12</v>
      </c>
      <c r="BG113" s="30"/>
      <c r="BP113" s="30"/>
      <c r="BU113" t="s">
        <v>985</v>
      </c>
      <c r="BV113" s="21" t="s">
        <v>986</v>
      </c>
      <c r="BW113" s="21" t="s">
        <v>2002</v>
      </c>
      <c r="BX113" s="21" t="s">
        <v>2003</v>
      </c>
      <c r="BY113" s="31">
        <v>1221000</v>
      </c>
      <c r="BZ113" s="31">
        <v>1221000</v>
      </c>
      <c r="CA113" t="s">
        <v>1968</v>
      </c>
      <c r="CB113" s="21" t="s">
        <v>2008</v>
      </c>
      <c r="CC113" s="21" t="s">
        <v>2009</v>
      </c>
      <c r="CD113" s="21" t="s">
        <v>2010</v>
      </c>
      <c r="CE113" s="21" t="s">
        <v>2011</v>
      </c>
      <c r="CF113" s="31">
        <v>279000</v>
      </c>
      <c r="CG113" s="31">
        <v>279000</v>
      </c>
      <c r="CH113" t="s">
        <v>2007</v>
      </c>
      <c r="CM113" s="31"/>
      <c r="CN113" s="31"/>
      <c r="CT113" s="31"/>
      <c r="CU113" s="31"/>
      <c r="CV113" s="31"/>
      <c r="DA113" s="31"/>
      <c r="DB113" s="31"/>
      <c r="DC113" s="31"/>
      <c r="DH113" s="31"/>
      <c r="DI113" s="31"/>
      <c r="DO113" s="31"/>
      <c r="DP113" s="31"/>
      <c r="DR113" t="s">
        <v>2519</v>
      </c>
      <c r="DS113" t="s">
        <v>837</v>
      </c>
      <c r="DT113" t="s">
        <v>902</v>
      </c>
      <c r="DU113" s="29" t="s">
        <v>850</v>
      </c>
      <c r="DV113" t="s">
        <v>1971</v>
      </c>
      <c r="DW113" t="s">
        <v>366</v>
      </c>
      <c r="DX113" t="s">
        <v>171</v>
      </c>
      <c r="DY113" t="s">
        <v>168</v>
      </c>
      <c r="DZ113" t="s">
        <v>169</v>
      </c>
      <c r="EA113" s="22">
        <v>43077.177256944444</v>
      </c>
      <c r="EB113" t="s">
        <v>2006</v>
      </c>
      <c r="EC113" t="s">
        <v>2529</v>
      </c>
    </row>
    <row r="114" spans="1:133">
      <c r="A114" s="30">
        <v>42955.353842592594</v>
      </c>
      <c r="B114" s="22">
        <v>42807.683333333334</v>
      </c>
      <c r="C114" s="22" t="s">
        <v>1965</v>
      </c>
      <c r="D114" s="30" t="s">
        <v>741</v>
      </c>
      <c r="E114" s="30" t="s">
        <v>901</v>
      </c>
      <c r="F114" s="30" t="s">
        <v>170</v>
      </c>
      <c r="G114" s="30" t="s">
        <v>1966</v>
      </c>
      <c r="H114" t="s">
        <v>94</v>
      </c>
      <c r="I114" t="s">
        <v>1967</v>
      </c>
      <c r="J114" t="s">
        <v>543</v>
      </c>
      <c r="K114" s="22">
        <v>42951.518680555557</v>
      </c>
      <c r="L114">
        <v>1</v>
      </c>
      <c r="M114" s="26">
        <v>4.22</v>
      </c>
      <c r="N114" t="s">
        <v>975</v>
      </c>
      <c r="Q114" s="29" t="s">
        <v>13</v>
      </c>
      <c r="R114" s="29" t="str">
        <f>IFERROR(MID(RADataTable[[#This Row],[RAtemplate]],1,LEN(RADataTable[[#This Row],[RAtemplate]])-8),"RA") &amp; " " &amp; RADataTable[[#This Row],[prop_id0]] &amp; " " &amp; RADataTable[[#This Row],[last0]]</f>
        <v>RA 1740605 Ravishanker</v>
      </c>
      <c r="U114" s="21" t="str">
        <f>IF(signer1="PD",IF(ISBLANK(RADataTable[[#This Row],[sign_blck_name]]),"",RADataTable[[#This Row],[sign_blck_name]]),IF(ISBLANK(signer1),"",signer1))</f>
        <v>Tracy J. Kimbrel</v>
      </c>
      <c r="V114" s="29" t="str">
        <f>signer2</f>
        <v>Cognizant Program Director</v>
      </c>
      <c r="W114" s="15" t="str">
        <f>HYPERLINK("https://www.ejacket.nsf.gov/ej/showProposal.do?Continue=Y&amp;ID="&amp;RADataTable[[#This Row],[prop_id0]],"eJ")</f>
        <v>eJ</v>
      </c>
      <c r="X114" s="15" t="str">
        <f>HYPERLINK("mailto:"&amp;RADataTable[[#This Row],[email]]&amp;"&amp;subject=Your NSF Proposal:  "&amp;RADataTable[[#This Row],[Div]]&amp;" "&amp;RADataTable[[#This Row],[prop_id0]], RADataTable[[#This Row],[email]])</f>
        <v>nalini.ravishanker@uconn.edu</v>
      </c>
      <c r="Y114" s="15" t="str">
        <f>HYPERLINK("mailto:"&amp;RADataTable[[#This Row],[allPIemail]]&amp;"&amp;subject=NSF Proposal:  "&amp;RADataTable[[#This Row],[Div]]&amp;" "&amp;RADataTable[[#This Row],[prop_id0]], "PIs@")</f>
        <v>PIs@</v>
      </c>
      <c r="Z114" t="s">
        <v>742</v>
      </c>
      <c r="AA114" t="s">
        <v>1023</v>
      </c>
      <c r="AB114">
        <v>3</v>
      </c>
      <c r="AD114"/>
      <c r="AE114" s="21" t="str">
        <f>IF(RADataTable[[#This Row],[maxScore]]-RADataTable[[#This Row],[minScore]]&gt;4,"Y","")</f>
        <v/>
      </c>
      <c r="AF114" s="21">
        <v>4</v>
      </c>
      <c r="AG114" s="26">
        <v>4.666666666666667</v>
      </c>
      <c r="AH114">
        <v>5</v>
      </c>
      <c r="AI114" t="s">
        <v>2021</v>
      </c>
      <c r="AJ114" s="30">
        <v>42871.922222222223</v>
      </c>
      <c r="AK114" s="13">
        <v>1424045</v>
      </c>
      <c r="AL114" s="13">
        <v>1424045</v>
      </c>
      <c r="AM114">
        <v>0</v>
      </c>
      <c r="AN114" s="30">
        <v>42979</v>
      </c>
      <c r="AO114" s="21">
        <v>36</v>
      </c>
      <c r="AP114" s="21" t="s">
        <v>2022</v>
      </c>
      <c r="AS114" s="30"/>
      <c r="AT114" t="s">
        <v>919</v>
      </c>
      <c r="AU114" s="21" t="s">
        <v>974</v>
      </c>
      <c r="AV114" s="21">
        <v>22</v>
      </c>
      <c r="AW114" s="21" t="s">
        <v>2517</v>
      </c>
      <c r="AX114" s="30">
        <v>42872</v>
      </c>
      <c r="AY114" s="21" t="s">
        <v>2533</v>
      </c>
      <c r="AZ114" s="21" t="s">
        <v>2518</v>
      </c>
      <c r="BA114" s="21">
        <v>12</v>
      </c>
      <c r="BG114" s="30"/>
      <c r="BP114" s="30"/>
      <c r="BU114" t="s">
        <v>1023</v>
      </c>
      <c r="BV114" s="21" t="s">
        <v>1024</v>
      </c>
      <c r="BW114" s="21" t="s">
        <v>2019</v>
      </c>
      <c r="BX114" s="21" t="s">
        <v>2020</v>
      </c>
      <c r="BY114" s="31">
        <v>825000</v>
      </c>
      <c r="BZ114" s="31">
        <v>825000</v>
      </c>
      <c r="CA114" t="s">
        <v>1968</v>
      </c>
      <c r="CB114" s="21" t="s">
        <v>2024</v>
      </c>
      <c r="CC114" s="21" t="s">
        <v>2025</v>
      </c>
      <c r="CD114" s="21" t="s">
        <v>2026</v>
      </c>
      <c r="CE114" s="21" t="s">
        <v>2027</v>
      </c>
      <c r="CF114" s="31">
        <v>224999</v>
      </c>
      <c r="CG114" s="31">
        <v>224999</v>
      </c>
      <c r="CH114" t="s">
        <v>1968</v>
      </c>
      <c r="CI114" s="21" t="s">
        <v>2030</v>
      </c>
      <c r="CJ114" s="21" t="s">
        <v>2031</v>
      </c>
      <c r="CK114" s="21" t="s">
        <v>1969</v>
      </c>
      <c r="CL114" s="21" t="s">
        <v>2032</v>
      </c>
      <c r="CM114" s="31">
        <v>374046</v>
      </c>
      <c r="CN114" s="31">
        <v>374046</v>
      </c>
      <c r="CO114" t="s">
        <v>2007</v>
      </c>
      <c r="CT114" s="31"/>
      <c r="CU114" s="31"/>
      <c r="CV114" s="31"/>
      <c r="DA114" s="31"/>
      <c r="DB114" s="31"/>
      <c r="DC114" s="31"/>
      <c r="DH114" s="31"/>
      <c r="DI114" s="31"/>
      <c r="DO114" s="31"/>
      <c r="DP114" s="31"/>
      <c r="DR114" t="s">
        <v>2519</v>
      </c>
      <c r="DS114" t="s">
        <v>837</v>
      </c>
      <c r="DT114" t="s">
        <v>902</v>
      </c>
      <c r="DU114" s="29" t="s">
        <v>850</v>
      </c>
      <c r="DV114" t="s">
        <v>1971</v>
      </c>
      <c r="DW114" t="s">
        <v>366</v>
      </c>
      <c r="DX114" t="s">
        <v>171</v>
      </c>
      <c r="DY114" t="s">
        <v>168</v>
      </c>
      <c r="DZ114" t="s">
        <v>169</v>
      </c>
      <c r="EA114" s="22">
        <v>43077.177256944444</v>
      </c>
      <c r="EB114" t="s">
        <v>2023</v>
      </c>
      <c r="EC114" t="s">
        <v>2534</v>
      </c>
    </row>
    <row r="115" spans="1:133">
      <c r="A115" s="30">
        <v>42955.686261574076</v>
      </c>
      <c r="B115" s="22">
        <v>42809.441666666666</v>
      </c>
      <c r="C115" s="22" t="s">
        <v>1965</v>
      </c>
      <c r="D115" s="30" t="s">
        <v>741</v>
      </c>
      <c r="E115" s="30" t="s">
        <v>901</v>
      </c>
      <c r="F115" s="30" t="s">
        <v>170</v>
      </c>
      <c r="G115" s="30" t="s">
        <v>1966</v>
      </c>
      <c r="H115" t="s">
        <v>94</v>
      </c>
      <c r="I115" t="s">
        <v>1967</v>
      </c>
      <c r="J115" t="s">
        <v>540</v>
      </c>
      <c r="K115" s="22">
        <v>42914.640416666669</v>
      </c>
      <c r="L115">
        <v>1</v>
      </c>
      <c r="M115" s="26">
        <v>4.22</v>
      </c>
      <c r="N115" t="s">
        <v>975</v>
      </c>
      <c r="Q115" s="29" t="s">
        <v>13</v>
      </c>
      <c r="R115" s="29" t="str">
        <f>IFERROR(MID(RADataTable[[#This Row],[RAtemplate]],1,LEN(RADataTable[[#This Row],[RAtemplate]])-8),"RA") &amp; " " &amp; RADataTable[[#This Row],[prop_id0]] &amp; " " &amp; RADataTable[[#This Row],[last0]]</f>
        <v>RA 1740736 Daniels</v>
      </c>
      <c r="U115" s="21" t="str">
        <f>IF(signer1="PD",IF(ISBLANK(RADataTable[[#This Row],[sign_blck_name]]),"",RADataTable[[#This Row],[sign_blck_name]]),IF(ISBLANK(signer1),"",signer1))</f>
        <v>Jack Snoeyink</v>
      </c>
      <c r="V115" s="29" t="str">
        <f>signer2</f>
        <v>Cognizant Program Director</v>
      </c>
      <c r="W115" s="15" t="str">
        <f>HYPERLINK("https://www.ejacket.nsf.gov/ej/showProposal.do?Continue=Y&amp;ID="&amp;RADataTable[[#This Row],[prop_id0]],"eJ")</f>
        <v>eJ</v>
      </c>
      <c r="X115" s="15" t="str">
        <f>HYPERLINK("mailto:"&amp;RADataTable[[#This Row],[email]]&amp;"&amp;subject=Your NSF Proposal:  "&amp;RADataTable[[#This Row],[Div]]&amp;" "&amp;RADataTable[[#This Row],[prop_id0]], RADataTable[[#This Row],[email]])</f>
        <v>noah_daniels@uri.edu</v>
      </c>
      <c r="Y115" s="15" t="str">
        <f>HYPERLINK("mailto:"&amp;RADataTable[[#This Row],[allPIemail]]&amp;"&amp;subject=NSF Proposal:  "&amp;RADataTable[[#This Row],[Div]]&amp;" "&amp;RADataTable[[#This Row],[prop_id0]], "PIs@")</f>
        <v>PIs@</v>
      </c>
      <c r="Z115" t="s">
        <v>742</v>
      </c>
      <c r="AA115" t="s">
        <v>1081</v>
      </c>
      <c r="AB115">
        <v>3</v>
      </c>
      <c r="AD115"/>
      <c r="AE115" s="21" t="str">
        <f>IF(RADataTable[[#This Row],[maxScore]]-RADataTable[[#This Row],[minScore]]&gt;4,"Y","")</f>
        <v/>
      </c>
      <c r="AF115" s="21">
        <v>1</v>
      </c>
      <c r="AG115" s="26">
        <v>1.6666666666666667</v>
      </c>
      <c r="AH115">
        <v>3</v>
      </c>
      <c r="AI115" t="s">
        <v>2082</v>
      </c>
      <c r="AJ115" s="30">
        <v>42872.461111111108</v>
      </c>
      <c r="AK115" s="13">
        <v>1319163</v>
      </c>
      <c r="AL115" s="13">
        <v>1319163</v>
      </c>
      <c r="AM115">
        <v>0</v>
      </c>
      <c r="AN115" s="30">
        <v>42979</v>
      </c>
      <c r="AO115" s="21">
        <v>36</v>
      </c>
      <c r="AP115" s="21" t="s">
        <v>2083</v>
      </c>
      <c r="AS115" s="30"/>
      <c r="AT115" t="s">
        <v>919</v>
      </c>
      <c r="AU115" s="21" t="s">
        <v>974</v>
      </c>
      <c r="AV115" s="21">
        <v>22</v>
      </c>
      <c r="AW115" s="21" t="s">
        <v>2517</v>
      </c>
      <c r="AX115" s="30">
        <v>42872</v>
      </c>
      <c r="AY115" s="21" t="s">
        <v>2544</v>
      </c>
      <c r="AZ115" s="21" t="s">
        <v>2518</v>
      </c>
      <c r="BA115" s="21">
        <v>12</v>
      </c>
      <c r="BG115" s="30"/>
      <c r="BP115" s="30"/>
      <c r="BU115" t="s">
        <v>1081</v>
      </c>
      <c r="BV115" s="21" t="s">
        <v>1082</v>
      </c>
      <c r="BW115" s="21" t="s">
        <v>2080</v>
      </c>
      <c r="BX115" s="21" t="s">
        <v>2081</v>
      </c>
      <c r="BY115" s="31">
        <v>1319163</v>
      </c>
      <c r="BZ115" s="31">
        <v>1319163</v>
      </c>
      <c r="CA115" t="s">
        <v>1987</v>
      </c>
      <c r="CF115" s="31"/>
      <c r="CG115" s="31"/>
      <c r="CM115" s="31"/>
      <c r="CN115" s="31"/>
      <c r="CT115" s="31"/>
      <c r="CU115" s="31"/>
      <c r="CV115" s="31"/>
      <c r="DA115" s="31"/>
      <c r="DB115" s="31"/>
      <c r="DC115" s="31"/>
      <c r="DH115" s="31"/>
      <c r="DI115" s="31"/>
      <c r="DO115" s="31"/>
      <c r="DP115" s="31"/>
      <c r="DR115" t="s">
        <v>2519</v>
      </c>
      <c r="DS115" t="s">
        <v>837</v>
      </c>
      <c r="DT115" t="s">
        <v>902</v>
      </c>
      <c r="DU115" s="29" t="s">
        <v>838</v>
      </c>
      <c r="DV115" t="s">
        <v>1971</v>
      </c>
      <c r="DW115" t="s">
        <v>366</v>
      </c>
      <c r="DX115" t="s">
        <v>171</v>
      </c>
      <c r="DY115" t="s">
        <v>168</v>
      </c>
      <c r="DZ115" t="s">
        <v>169</v>
      </c>
      <c r="EA115" s="22">
        <v>43077.177256944444</v>
      </c>
      <c r="EB115" t="s">
        <v>2084</v>
      </c>
      <c r="EC115" t="s">
        <v>2545</v>
      </c>
    </row>
    <row r="116" spans="1:133">
      <c r="A116" s="30">
        <v>42955.725289351853</v>
      </c>
      <c r="B116" s="22">
        <v>42809.494444444441</v>
      </c>
      <c r="C116" s="22" t="s">
        <v>1965</v>
      </c>
      <c r="D116" s="30" t="s">
        <v>741</v>
      </c>
      <c r="E116" s="30" t="s">
        <v>901</v>
      </c>
      <c r="F116" s="30" t="s">
        <v>170</v>
      </c>
      <c r="G116" s="30" t="s">
        <v>1966</v>
      </c>
      <c r="H116" t="s">
        <v>94</v>
      </c>
      <c r="I116" t="s">
        <v>1967</v>
      </c>
      <c r="J116" t="s">
        <v>540</v>
      </c>
      <c r="K116" s="22">
        <v>42914.640474537038</v>
      </c>
      <c r="L116">
        <v>1</v>
      </c>
      <c r="M116" s="26">
        <v>4.22</v>
      </c>
      <c r="N116" t="s">
        <v>975</v>
      </c>
      <c r="Q116" s="29" t="s">
        <v>13</v>
      </c>
      <c r="R116" s="29" t="str">
        <f>IFERROR(MID(RADataTable[[#This Row],[RAtemplate]],1,LEN(RADataTable[[#This Row],[RAtemplate]])-8),"RA") &amp; " " &amp; RADataTable[[#This Row],[prop_id0]] &amp; " " &amp; RADataTable[[#This Row],[last0]]</f>
        <v>RA 1740748 Edelman</v>
      </c>
      <c r="U116" s="21" t="str">
        <f>IF(signer1="PD",IF(ISBLANK(RADataTable[[#This Row],[sign_blck_name]]),"",RADataTable[[#This Row],[sign_blck_name]]),IF(ISBLANK(signer1),"",signer1))</f>
        <v>Jack Snoeyink</v>
      </c>
      <c r="V116" s="29" t="str">
        <f>signer2</f>
        <v>Cognizant Program Director</v>
      </c>
      <c r="W116" s="15" t="str">
        <f>HYPERLINK("https://www.ejacket.nsf.gov/ej/showProposal.do?Continue=Y&amp;ID="&amp;RADataTable[[#This Row],[prop_id0]],"eJ")</f>
        <v>eJ</v>
      </c>
      <c r="X116" s="15" t="str">
        <f>HYPERLINK("mailto:"&amp;RADataTable[[#This Row],[email]]&amp;"&amp;subject=Your NSF Proposal:  "&amp;RADataTable[[#This Row],[Div]]&amp;" "&amp;RADataTable[[#This Row],[prop_id0]], RADataTable[[#This Row],[email]])</f>
        <v>EDELMAN@MATH.MIT.EDU</v>
      </c>
      <c r="Y116" s="15" t="str">
        <f>HYPERLINK("mailto:"&amp;RADataTable[[#This Row],[allPIemail]]&amp;"&amp;subject=NSF Proposal:  "&amp;RADataTable[[#This Row],[Div]]&amp;" "&amp;RADataTable[[#This Row],[prop_id0]], "PIs@")</f>
        <v>PIs@</v>
      </c>
      <c r="Z116" t="s">
        <v>742</v>
      </c>
      <c r="AA116" t="s">
        <v>1112</v>
      </c>
      <c r="AB116">
        <v>3</v>
      </c>
      <c r="AD116"/>
      <c r="AE116" s="21" t="str">
        <f>IF(RADataTable[[#This Row],[maxScore]]-RADataTable[[#This Row],[minScore]]&gt;4,"Y","")</f>
        <v/>
      </c>
      <c r="AF116" s="21">
        <v>3</v>
      </c>
      <c r="AG116" s="26">
        <v>4.333333333333333</v>
      </c>
      <c r="AH116">
        <v>5</v>
      </c>
      <c r="AI116" t="s">
        <v>1984</v>
      </c>
      <c r="AJ116" s="30">
        <v>42871.874305555553</v>
      </c>
      <c r="AK116" s="13">
        <v>1488059</v>
      </c>
      <c r="AL116" s="13">
        <v>1488059</v>
      </c>
      <c r="AM116">
        <v>1</v>
      </c>
      <c r="AN116" s="30">
        <v>43009</v>
      </c>
      <c r="AO116" s="21">
        <v>36</v>
      </c>
      <c r="AP116" s="21" t="s">
        <v>2091</v>
      </c>
      <c r="AS116" s="30"/>
      <c r="AT116" t="s">
        <v>919</v>
      </c>
      <c r="AU116" s="21" t="s">
        <v>974</v>
      </c>
      <c r="AV116" s="21">
        <v>22</v>
      </c>
      <c r="AW116" s="21" t="s">
        <v>2517</v>
      </c>
      <c r="AX116" s="30">
        <v>42872</v>
      </c>
      <c r="AY116" s="21" t="s">
        <v>2526</v>
      </c>
      <c r="AZ116" s="21" t="s">
        <v>2518</v>
      </c>
      <c r="BA116" s="21">
        <v>12</v>
      </c>
      <c r="BG116" s="30"/>
      <c r="BP116" s="30"/>
      <c r="BU116" t="s">
        <v>1112</v>
      </c>
      <c r="BV116" s="21" t="s">
        <v>1113</v>
      </c>
      <c r="BW116" s="21" t="s">
        <v>2090</v>
      </c>
      <c r="BX116" s="21" t="s">
        <v>775</v>
      </c>
      <c r="BY116" s="31">
        <v>600000</v>
      </c>
      <c r="BZ116" s="31">
        <v>600000</v>
      </c>
      <c r="CA116" t="s">
        <v>1968</v>
      </c>
      <c r="CB116" s="21" t="s">
        <v>2093</v>
      </c>
      <c r="CC116" s="21" t="s">
        <v>2094</v>
      </c>
      <c r="CD116" s="21" t="s">
        <v>2095</v>
      </c>
      <c r="CE116" s="21" t="s">
        <v>2096</v>
      </c>
      <c r="CF116" s="31">
        <v>450000</v>
      </c>
      <c r="CG116" s="31">
        <v>450000</v>
      </c>
      <c r="CH116" t="s">
        <v>1968</v>
      </c>
      <c r="CI116" s="21" t="s">
        <v>2098</v>
      </c>
      <c r="CJ116" s="21" t="s">
        <v>2099</v>
      </c>
      <c r="CK116" s="21" t="s">
        <v>2100</v>
      </c>
      <c r="CL116" s="21" t="s">
        <v>2101</v>
      </c>
      <c r="CM116" s="31">
        <v>438059</v>
      </c>
      <c r="CN116" s="31">
        <v>438059</v>
      </c>
      <c r="CO116" t="s">
        <v>1968</v>
      </c>
      <c r="CT116" s="31"/>
      <c r="CU116" s="31"/>
      <c r="CV116" s="31"/>
      <c r="DA116" s="31"/>
      <c r="DB116" s="31"/>
      <c r="DC116" s="31"/>
      <c r="DH116" s="31"/>
      <c r="DI116" s="31"/>
      <c r="DO116" s="31"/>
      <c r="DP116" s="31"/>
      <c r="DR116" t="s">
        <v>2519</v>
      </c>
      <c r="DS116" t="s">
        <v>837</v>
      </c>
      <c r="DT116" t="s">
        <v>902</v>
      </c>
      <c r="DU116" s="29" t="s">
        <v>838</v>
      </c>
      <c r="DV116" t="s">
        <v>1971</v>
      </c>
      <c r="DW116" t="s">
        <v>366</v>
      </c>
      <c r="DX116" t="s">
        <v>171</v>
      </c>
      <c r="DY116" t="s">
        <v>168</v>
      </c>
      <c r="DZ116" t="s">
        <v>169</v>
      </c>
      <c r="EA116" s="22">
        <v>43077.177256944444</v>
      </c>
      <c r="EB116" t="s">
        <v>2092</v>
      </c>
      <c r="EC116" t="s">
        <v>2547</v>
      </c>
    </row>
    <row r="117" spans="1:133">
      <c r="A117" s="30">
        <v>42955.695937500001</v>
      </c>
      <c r="B117" s="22">
        <v>42809.513194444444</v>
      </c>
      <c r="C117" s="22" t="s">
        <v>1965</v>
      </c>
      <c r="D117" s="30" t="s">
        <v>741</v>
      </c>
      <c r="E117" s="30" t="s">
        <v>901</v>
      </c>
      <c r="F117" s="30" t="s">
        <v>170</v>
      </c>
      <c r="G117" s="30" t="s">
        <v>1966</v>
      </c>
      <c r="H117" t="s">
        <v>94</v>
      </c>
      <c r="I117" t="s">
        <v>1967</v>
      </c>
      <c r="J117" t="s">
        <v>540</v>
      </c>
      <c r="K117" s="22">
        <v>42914.640543981484</v>
      </c>
      <c r="L117">
        <v>1</v>
      </c>
      <c r="M117" s="26">
        <v>4.22</v>
      </c>
      <c r="N117" t="s">
        <v>975</v>
      </c>
      <c r="Q117" s="29" t="s">
        <v>13</v>
      </c>
      <c r="R117" s="29" t="str">
        <f>IFERROR(MID(RADataTable[[#This Row],[RAtemplate]],1,LEN(RADataTable[[#This Row],[RAtemplate]])-8),"RA") &amp; " " &amp; RADataTable[[#This Row],[prop_id0]] &amp; " " &amp; RADataTable[[#This Row],[last0]]</f>
        <v>RA 1740752 Davison</v>
      </c>
      <c r="U117" s="21" t="str">
        <f>IF(signer1="PD",IF(ISBLANK(RADataTable[[#This Row],[sign_blck_name]]),"",RADataTable[[#This Row],[sign_blck_name]]),IF(ISBLANK(signer1),"",signer1))</f>
        <v>Jack Snoeyink</v>
      </c>
      <c r="V117" s="29" t="str">
        <f>signer2</f>
        <v>Cognizant Program Director</v>
      </c>
      <c r="W117" s="15" t="str">
        <f>HYPERLINK("https://www.ejacket.nsf.gov/ej/showProposal.do?Continue=Y&amp;ID="&amp;RADataTable[[#This Row],[prop_id0]],"eJ")</f>
        <v>eJ</v>
      </c>
      <c r="X117" s="15" t="str">
        <f>HYPERLINK("mailto:"&amp;RADataTable[[#This Row],[email]]&amp;"&amp;subject=Your NSF Proposal:  "&amp;RADataTable[[#This Row],[Div]]&amp;" "&amp;RADataTable[[#This Row],[prop_id0]], RADataTable[[#This Row],[email]])</f>
        <v>brian@cse.lehigh.edu</v>
      </c>
      <c r="Y117" s="15" t="str">
        <f>HYPERLINK("mailto:"&amp;RADataTable[[#This Row],[allPIemail]]&amp;"&amp;subject=NSF Proposal:  "&amp;RADataTable[[#This Row],[Div]]&amp;" "&amp;RADataTable[[#This Row],[prop_id0]], "PIs@")</f>
        <v>PIs@</v>
      </c>
      <c r="Z117" t="s">
        <v>742</v>
      </c>
      <c r="AA117" t="s">
        <v>1133</v>
      </c>
      <c r="AB117">
        <v>3</v>
      </c>
      <c r="AD117"/>
      <c r="AE117" s="21" t="str">
        <f>IF(RADataTable[[#This Row],[maxScore]]-RADataTable[[#This Row],[minScore]]&gt;4,"Y","")</f>
        <v/>
      </c>
      <c r="AF117" s="21">
        <v>3</v>
      </c>
      <c r="AG117" s="26">
        <v>3.6666666666666665</v>
      </c>
      <c r="AH117">
        <v>4</v>
      </c>
      <c r="AI117" t="s">
        <v>2110</v>
      </c>
      <c r="AJ117" s="30">
        <v>42870.936111111114</v>
      </c>
      <c r="AK117" s="13">
        <v>1499915</v>
      </c>
      <c r="AL117" s="13">
        <v>1499915</v>
      </c>
      <c r="AM117">
        <v>0</v>
      </c>
      <c r="AN117" s="30">
        <v>43009</v>
      </c>
      <c r="AO117" s="21">
        <v>36</v>
      </c>
      <c r="AP117" s="21" t="s">
        <v>2111</v>
      </c>
      <c r="AS117" s="30"/>
      <c r="AT117" t="s">
        <v>919</v>
      </c>
      <c r="AU117" s="21" t="s">
        <v>974</v>
      </c>
      <c r="AV117" s="21">
        <v>22</v>
      </c>
      <c r="AW117" s="21" t="s">
        <v>2517</v>
      </c>
      <c r="AX117" s="30">
        <v>42872</v>
      </c>
      <c r="AY117" s="21" t="s">
        <v>2550</v>
      </c>
      <c r="AZ117" s="21" t="s">
        <v>2518</v>
      </c>
      <c r="BA117" s="21">
        <v>12</v>
      </c>
      <c r="BG117" s="30"/>
      <c r="BP117" s="30"/>
      <c r="BU117" t="s">
        <v>1133</v>
      </c>
      <c r="BV117" s="21" t="s">
        <v>1134</v>
      </c>
      <c r="BW117" s="21" t="s">
        <v>2108</v>
      </c>
      <c r="BX117" s="21" t="s">
        <v>2109</v>
      </c>
      <c r="BY117" s="31">
        <v>1499915</v>
      </c>
      <c r="BZ117" s="31">
        <v>1499915</v>
      </c>
      <c r="CA117" t="s">
        <v>1968</v>
      </c>
      <c r="CF117" s="31"/>
      <c r="CG117" s="31"/>
      <c r="CM117" s="31"/>
      <c r="CN117" s="31"/>
      <c r="CT117" s="31"/>
      <c r="CU117" s="31"/>
      <c r="CV117" s="31"/>
      <c r="DA117" s="31"/>
      <c r="DB117" s="31"/>
      <c r="DC117" s="31"/>
      <c r="DH117" s="31"/>
      <c r="DI117" s="31"/>
      <c r="DO117" s="31"/>
      <c r="DP117" s="31"/>
      <c r="DR117" t="s">
        <v>2519</v>
      </c>
      <c r="DS117" t="s">
        <v>837</v>
      </c>
      <c r="DT117" t="s">
        <v>902</v>
      </c>
      <c r="DU117" s="29" t="s">
        <v>838</v>
      </c>
      <c r="DV117" t="s">
        <v>1971</v>
      </c>
      <c r="DW117" t="s">
        <v>366</v>
      </c>
      <c r="DX117" t="s">
        <v>171</v>
      </c>
      <c r="DY117" t="s">
        <v>168</v>
      </c>
      <c r="DZ117" t="s">
        <v>169</v>
      </c>
      <c r="EA117" s="22">
        <v>43077.177256944444</v>
      </c>
      <c r="EB117" t="s">
        <v>2112</v>
      </c>
      <c r="EC117" t="s">
        <v>2551</v>
      </c>
    </row>
    <row r="118" spans="1:133">
      <c r="A118" s="30">
        <v>42955.726944444446</v>
      </c>
      <c r="B118" s="22">
        <v>42809.597916666666</v>
      </c>
      <c r="C118" s="22" t="s">
        <v>1965</v>
      </c>
      <c r="D118" s="30" t="s">
        <v>741</v>
      </c>
      <c r="E118" s="30" t="s">
        <v>901</v>
      </c>
      <c r="F118" s="30" t="s">
        <v>170</v>
      </c>
      <c r="G118" s="30" t="s">
        <v>1966</v>
      </c>
      <c r="H118" t="s">
        <v>94</v>
      </c>
      <c r="I118" t="s">
        <v>1967</v>
      </c>
      <c r="J118" t="s">
        <v>540</v>
      </c>
      <c r="K118" s="22">
        <v>42914.640601851854</v>
      </c>
      <c r="L118">
        <v>1</v>
      </c>
      <c r="M118" s="26">
        <v>4.22</v>
      </c>
      <c r="N118" t="s">
        <v>975</v>
      </c>
      <c r="Q118" s="29" t="s">
        <v>13</v>
      </c>
      <c r="R118" s="29" t="str">
        <f>IFERROR(MID(RADataTable[[#This Row],[RAtemplate]],1,LEN(RADataTable[[#This Row],[RAtemplate]])-8),"RA") &amp; " " &amp; RADataTable[[#This Row],[prop_id0]] &amp; " " &amp; RADataTable[[#This Row],[last0]]</f>
        <v>RA 1740779 Carbonara</v>
      </c>
      <c r="U118" s="21" t="str">
        <f>IF(signer1="PD",IF(ISBLANK(RADataTable[[#This Row],[sign_blck_name]]),"",RADataTable[[#This Row],[sign_blck_name]]),IF(ISBLANK(signer1),"",signer1))</f>
        <v>Jack Snoeyink</v>
      </c>
      <c r="V118" s="29" t="str">
        <f>signer2</f>
        <v>Cognizant Program Director</v>
      </c>
      <c r="W118" s="15" t="str">
        <f>HYPERLINK("https://www.ejacket.nsf.gov/ej/showProposal.do?Continue=Y&amp;ID="&amp;RADataTable[[#This Row],[prop_id0]],"eJ")</f>
        <v>eJ</v>
      </c>
      <c r="X118" s="15" t="str">
        <f>HYPERLINK("mailto:"&amp;RADataTable[[#This Row],[email]]&amp;"&amp;subject=Your NSF Proposal:  "&amp;RADataTable[[#This Row],[Div]]&amp;" "&amp;RADataTable[[#This Row],[prop_id0]], RADataTable[[#This Row],[email]])</f>
        <v>carbonjo@buffalostate.edu</v>
      </c>
      <c r="Y118" s="15" t="str">
        <f>HYPERLINK("mailto:"&amp;RADataTable[[#This Row],[allPIemail]]&amp;"&amp;subject=NSF Proposal:  "&amp;RADataTable[[#This Row],[Div]]&amp;" "&amp;RADataTable[[#This Row],[prop_id0]], "PIs@")</f>
        <v>PIs@</v>
      </c>
      <c r="Z118" t="s">
        <v>742</v>
      </c>
      <c r="AA118" t="s">
        <v>1175</v>
      </c>
      <c r="AB118">
        <v>3</v>
      </c>
      <c r="AD118"/>
      <c r="AE118" s="21" t="str">
        <f>IF(RADataTable[[#This Row],[maxScore]]-RADataTable[[#This Row],[minScore]]&gt;4,"Y","")</f>
        <v/>
      </c>
      <c r="AF118" s="21">
        <v>1</v>
      </c>
      <c r="AG118" s="26">
        <v>3.6666666666666665</v>
      </c>
      <c r="AH118">
        <v>5</v>
      </c>
      <c r="AI118" t="s">
        <v>2138</v>
      </c>
      <c r="AJ118" s="30">
        <v>42871.856249999997</v>
      </c>
      <c r="AK118" s="13">
        <v>1499079</v>
      </c>
      <c r="AL118" s="13">
        <v>1499079</v>
      </c>
      <c r="AM118">
        <v>0</v>
      </c>
      <c r="AN118" s="30">
        <v>42979</v>
      </c>
      <c r="AO118" s="21">
        <v>36</v>
      </c>
      <c r="AP118" s="21" t="s">
        <v>2139</v>
      </c>
      <c r="AS118" s="30"/>
      <c r="AT118" t="s">
        <v>919</v>
      </c>
      <c r="AU118" s="21" t="s">
        <v>974</v>
      </c>
      <c r="AV118" s="21">
        <v>22</v>
      </c>
      <c r="AW118" s="21" t="s">
        <v>2517</v>
      </c>
      <c r="AX118" s="30">
        <v>42872</v>
      </c>
      <c r="AY118" s="21" t="s">
        <v>2558</v>
      </c>
      <c r="AZ118" s="21" t="s">
        <v>2518</v>
      </c>
      <c r="BA118" s="21">
        <v>12</v>
      </c>
      <c r="BB118" s="21">
        <v>1</v>
      </c>
      <c r="BG118" s="30"/>
      <c r="BP118" s="30"/>
      <c r="BU118" t="s">
        <v>1175</v>
      </c>
      <c r="BV118" s="21" t="s">
        <v>1176</v>
      </c>
      <c r="BW118" s="21" t="s">
        <v>2136</v>
      </c>
      <c r="BX118" s="21" t="s">
        <v>2137</v>
      </c>
      <c r="BY118" s="31">
        <v>285964</v>
      </c>
      <c r="BZ118" s="31">
        <v>285964</v>
      </c>
      <c r="CA118" t="s">
        <v>2007</v>
      </c>
      <c r="CB118" s="21" t="s">
        <v>2141</v>
      </c>
      <c r="CC118" s="21" t="s">
        <v>2142</v>
      </c>
      <c r="CD118" s="21" t="s">
        <v>2143</v>
      </c>
      <c r="CE118" s="21" t="s">
        <v>2144</v>
      </c>
      <c r="CF118" s="31">
        <v>209549</v>
      </c>
      <c r="CG118" s="31">
        <v>209549</v>
      </c>
      <c r="CH118" t="s">
        <v>2007</v>
      </c>
      <c r="CI118" s="21" t="s">
        <v>2146</v>
      </c>
      <c r="CJ118" s="21" t="s">
        <v>2147</v>
      </c>
      <c r="CK118" s="21" t="s">
        <v>2148</v>
      </c>
      <c r="CL118" s="21" t="s">
        <v>2149</v>
      </c>
      <c r="CM118" s="31">
        <v>361729</v>
      </c>
      <c r="CN118" s="31">
        <v>361729</v>
      </c>
      <c r="CO118" t="s">
        <v>2007</v>
      </c>
      <c r="CP118" s="21" t="s">
        <v>2151</v>
      </c>
      <c r="CQ118" s="21" t="s">
        <v>2152</v>
      </c>
      <c r="CR118" s="21" t="s">
        <v>2153</v>
      </c>
      <c r="CS118" s="21" t="s">
        <v>2154</v>
      </c>
      <c r="CT118" s="31">
        <v>248472</v>
      </c>
      <c r="CU118" s="31">
        <v>248472</v>
      </c>
      <c r="CV118" s="31" t="s">
        <v>1968</v>
      </c>
      <c r="CW118" s="21" t="s">
        <v>2157</v>
      </c>
      <c r="CX118" s="21" t="s">
        <v>2158</v>
      </c>
      <c r="CY118" s="21" t="s">
        <v>2159</v>
      </c>
      <c r="CZ118" s="21" t="s">
        <v>2160</v>
      </c>
      <c r="DA118" s="31">
        <v>393365</v>
      </c>
      <c r="DB118" s="31">
        <v>393365</v>
      </c>
      <c r="DC118" s="31" t="s">
        <v>1968</v>
      </c>
      <c r="DH118" s="31"/>
      <c r="DI118" s="31"/>
      <c r="DO118" s="31"/>
      <c r="DP118" s="31"/>
      <c r="DR118" t="s">
        <v>2519</v>
      </c>
      <c r="DS118" t="s">
        <v>837</v>
      </c>
      <c r="DT118" t="s">
        <v>902</v>
      </c>
      <c r="DU118" s="29" t="s">
        <v>838</v>
      </c>
      <c r="DV118" t="s">
        <v>1971</v>
      </c>
      <c r="DW118" t="s">
        <v>366</v>
      </c>
      <c r="DX118" t="s">
        <v>171</v>
      </c>
      <c r="DY118" t="s">
        <v>168</v>
      </c>
      <c r="DZ118" t="s">
        <v>169</v>
      </c>
      <c r="EA118" s="22">
        <v>43077.177256944444</v>
      </c>
      <c r="EB118" t="s">
        <v>2140</v>
      </c>
      <c r="EC118" t="s">
        <v>2559</v>
      </c>
    </row>
    <row r="119" spans="1:133">
      <c r="A119" s="30">
        <v>42955.728993055556</v>
      </c>
      <c r="B119" s="22">
        <v>42809.663888888892</v>
      </c>
      <c r="C119" s="22" t="s">
        <v>1965</v>
      </c>
      <c r="D119" s="30" t="s">
        <v>741</v>
      </c>
      <c r="E119" s="30" t="s">
        <v>901</v>
      </c>
      <c r="F119" s="30" t="s">
        <v>170</v>
      </c>
      <c r="G119" s="30" t="s">
        <v>1966</v>
      </c>
      <c r="H119" t="s">
        <v>94</v>
      </c>
      <c r="I119" t="s">
        <v>1967</v>
      </c>
      <c r="J119" t="s">
        <v>540</v>
      </c>
      <c r="K119" s="22">
        <v>42914.640648148146</v>
      </c>
      <c r="L119">
        <v>1</v>
      </c>
      <c r="M119" s="26">
        <v>4.22</v>
      </c>
      <c r="N119" t="s">
        <v>975</v>
      </c>
      <c r="Q119" s="29" t="s">
        <v>13</v>
      </c>
      <c r="R119" s="29" t="str">
        <f>IFERROR(MID(RADataTable[[#This Row],[RAtemplate]],1,LEN(RADataTable[[#This Row],[RAtemplate]])-8),"RA") &amp; " " &amp; RADataTable[[#This Row],[prop_id0]] &amp; " " &amp; RADataTable[[#This Row],[last0]]</f>
        <v>RA 1740811 Mishra</v>
      </c>
      <c r="U119" s="21" t="str">
        <f>IF(signer1="PD",IF(ISBLANK(RADataTable[[#This Row],[sign_blck_name]]),"",RADataTable[[#This Row],[sign_blck_name]]),IF(ISBLANK(signer1),"",signer1))</f>
        <v>Jack Snoeyink</v>
      </c>
      <c r="V119" s="29" t="str">
        <f>signer2</f>
        <v>Cognizant Program Director</v>
      </c>
      <c r="W119" s="15" t="str">
        <f>HYPERLINK("https://www.ejacket.nsf.gov/ej/showProposal.do?Continue=Y&amp;ID="&amp;RADataTable[[#This Row],[prop_id0]],"eJ")</f>
        <v>eJ</v>
      </c>
      <c r="X119" s="15" t="str">
        <f>HYPERLINK("mailto:"&amp;RADataTable[[#This Row],[email]]&amp;"&amp;subject=Your NSF Proposal:  "&amp;RADataTable[[#This Row],[Div]]&amp;" "&amp;RADataTable[[#This Row],[prop_id0]], RADataTable[[#This Row],[email]])</f>
        <v>mishra@cs.nyu.edu</v>
      </c>
      <c r="Y119" s="15" t="str">
        <f>HYPERLINK("mailto:"&amp;RADataTable[[#This Row],[allPIemail]]&amp;"&amp;subject=NSF Proposal:  "&amp;RADataTable[[#This Row],[Div]]&amp;" "&amp;RADataTable[[#This Row],[prop_id0]], "PIs@")</f>
        <v>PIs@</v>
      </c>
      <c r="Z119" t="s">
        <v>742</v>
      </c>
      <c r="AA119" t="s">
        <v>1271</v>
      </c>
      <c r="AB119">
        <v>3</v>
      </c>
      <c r="AD119"/>
      <c r="AE119" s="21" t="str">
        <f>IF(RADataTable[[#This Row],[maxScore]]-RADataTable[[#This Row],[minScore]]&gt;4,"Y","")</f>
        <v/>
      </c>
      <c r="AF119" s="21">
        <v>3</v>
      </c>
      <c r="AG119" s="26">
        <v>3</v>
      </c>
      <c r="AH119">
        <v>3</v>
      </c>
      <c r="AI119" t="s">
        <v>2223</v>
      </c>
      <c r="AJ119" s="30">
        <v>42872.489583333336</v>
      </c>
      <c r="AK119" s="13">
        <v>1500000</v>
      </c>
      <c r="AL119" s="13">
        <v>1500000</v>
      </c>
      <c r="AM119">
        <v>0</v>
      </c>
      <c r="AN119" s="30">
        <v>42979</v>
      </c>
      <c r="AO119" s="21">
        <v>36</v>
      </c>
      <c r="AP119" s="21" t="s">
        <v>2224</v>
      </c>
      <c r="AS119" s="30"/>
      <c r="AT119" t="s">
        <v>919</v>
      </c>
      <c r="AU119" s="21" t="s">
        <v>974</v>
      </c>
      <c r="AV119" s="21">
        <v>22</v>
      </c>
      <c r="AW119" s="21" t="s">
        <v>2517</v>
      </c>
      <c r="AX119" s="30">
        <v>42872</v>
      </c>
      <c r="AY119" s="21" t="s">
        <v>2579</v>
      </c>
      <c r="AZ119" s="21" t="s">
        <v>2518</v>
      </c>
      <c r="BA119" s="21">
        <v>12</v>
      </c>
      <c r="BG119" s="30"/>
      <c r="BP119" s="30"/>
      <c r="BU119" t="s">
        <v>1271</v>
      </c>
      <c r="BV119" s="21" t="s">
        <v>1272</v>
      </c>
      <c r="BW119" s="21" t="s">
        <v>2221</v>
      </c>
      <c r="BX119" s="21" t="s">
        <v>2222</v>
      </c>
      <c r="BY119" s="31">
        <v>1050000</v>
      </c>
      <c r="BZ119" s="31">
        <v>1050000</v>
      </c>
      <c r="CA119" t="s">
        <v>1968</v>
      </c>
      <c r="CB119" s="21" t="s">
        <v>2226</v>
      </c>
      <c r="CC119" s="21" t="s">
        <v>2227</v>
      </c>
      <c r="CD119" s="21" t="s">
        <v>2228</v>
      </c>
      <c r="CE119" s="21" t="s">
        <v>775</v>
      </c>
      <c r="CF119" s="31">
        <v>450000</v>
      </c>
      <c r="CG119" s="31">
        <v>450000</v>
      </c>
      <c r="CH119" t="s">
        <v>1968</v>
      </c>
      <c r="CM119" s="31"/>
      <c r="CN119" s="31"/>
      <c r="CT119" s="31"/>
      <c r="CU119" s="31"/>
      <c r="CV119" s="31"/>
      <c r="DA119" s="31"/>
      <c r="DB119" s="31"/>
      <c r="DC119" s="31"/>
      <c r="DH119" s="31"/>
      <c r="DI119" s="31"/>
      <c r="DO119" s="31"/>
      <c r="DP119" s="31"/>
      <c r="DR119" t="s">
        <v>2519</v>
      </c>
      <c r="DS119" t="s">
        <v>837</v>
      </c>
      <c r="DT119" t="s">
        <v>902</v>
      </c>
      <c r="DU119" s="29" t="s">
        <v>838</v>
      </c>
      <c r="DV119" t="s">
        <v>1971</v>
      </c>
      <c r="DW119" t="s">
        <v>366</v>
      </c>
      <c r="DX119" t="s">
        <v>171</v>
      </c>
      <c r="DY119" t="s">
        <v>168</v>
      </c>
      <c r="DZ119" t="s">
        <v>169</v>
      </c>
      <c r="EA119" s="22">
        <v>43077.177256944444</v>
      </c>
      <c r="EB119" t="s">
        <v>2225</v>
      </c>
      <c r="EC119" t="s">
        <v>2580</v>
      </c>
    </row>
    <row r="120" spans="1:133">
      <c r="A120" s="30">
        <v>42955.702997685185</v>
      </c>
      <c r="B120" s="22">
        <v>42809.665972222225</v>
      </c>
      <c r="C120" s="22" t="s">
        <v>1965</v>
      </c>
      <c r="D120" s="30" t="s">
        <v>741</v>
      </c>
      <c r="E120" s="30" t="s">
        <v>901</v>
      </c>
      <c r="F120" s="30" t="s">
        <v>170</v>
      </c>
      <c r="G120" s="30" t="s">
        <v>1966</v>
      </c>
      <c r="H120" t="s">
        <v>94</v>
      </c>
      <c r="I120" t="s">
        <v>1967</v>
      </c>
      <c r="J120" t="s">
        <v>540</v>
      </c>
      <c r="K120" s="22">
        <v>42954.60597222222</v>
      </c>
      <c r="L120">
        <v>1</v>
      </c>
      <c r="M120" s="26">
        <v>4.22</v>
      </c>
      <c r="N120" t="s">
        <v>975</v>
      </c>
      <c r="Q120" s="29" t="s">
        <v>13</v>
      </c>
      <c r="R120" s="29" t="str">
        <f>IFERROR(MID(RADataTable[[#This Row],[RAtemplate]],1,LEN(RADataTable[[#This Row],[RAtemplate]])-8),"RA") &amp; " " &amp; RADataTable[[#This Row],[prop_id0]] &amp; " " &amp; RADataTable[[#This Row],[last0]]</f>
        <v>RA 1740813 Anderson</v>
      </c>
      <c r="U120" s="21" t="str">
        <f>IF(signer1="PD",IF(ISBLANK(RADataTable[[#This Row],[sign_blck_name]]),"",RADataTable[[#This Row],[sign_blck_name]]),IF(ISBLANK(signer1),"",signer1))</f>
        <v>Jack Snoeyink</v>
      </c>
      <c r="V120" s="29" t="str">
        <f>signer2</f>
        <v>Cognizant Program Director</v>
      </c>
      <c r="W120" s="15" t="str">
        <f>HYPERLINK("https://www.ejacket.nsf.gov/ej/showProposal.do?Continue=Y&amp;ID="&amp;RADataTable[[#This Row],[prop_id0]],"eJ")</f>
        <v>eJ</v>
      </c>
      <c r="X120" s="15" t="str">
        <f>HYPERLINK("mailto:"&amp;RADataTable[[#This Row],[email]]&amp;"&amp;subject=Your NSF Proposal:  "&amp;RADataTable[[#This Row],[Div]]&amp;" "&amp;RADataTable[[#This Row],[prop_id0]], RADataTable[[#This Row],[email]])</f>
        <v>andersonpe2@cofc.edu</v>
      </c>
      <c r="Y120" s="15" t="str">
        <f>HYPERLINK("mailto:"&amp;RADataTable[[#This Row],[allPIemail]]&amp;"&amp;subject=NSF Proposal:  "&amp;RADataTable[[#This Row],[Div]]&amp;" "&amp;RADataTable[[#This Row],[prop_id0]], "PIs@")</f>
        <v>PIs@</v>
      </c>
      <c r="Z120" t="s">
        <v>742</v>
      </c>
      <c r="AA120" t="s">
        <v>1278</v>
      </c>
      <c r="AB120">
        <v>3</v>
      </c>
      <c r="AD120"/>
      <c r="AE120" s="21" t="str">
        <f>IF(RADataTable[[#This Row],[maxScore]]-RADataTable[[#This Row],[minScore]]&gt;4,"Y","")</f>
        <v/>
      </c>
      <c r="AF120" s="21">
        <v>2</v>
      </c>
      <c r="AG120" s="26">
        <v>3</v>
      </c>
      <c r="AH120">
        <v>5</v>
      </c>
      <c r="AI120" t="s">
        <v>2231</v>
      </c>
      <c r="AJ120" s="30">
        <v>42867.839583333334</v>
      </c>
      <c r="AK120" s="13">
        <v>1500000</v>
      </c>
      <c r="AL120" s="13">
        <v>1500000</v>
      </c>
      <c r="AM120">
        <v>0</v>
      </c>
      <c r="AN120" s="30">
        <v>43070</v>
      </c>
      <c r="AO120" s="21">
        <v>36</v>
      </c>
      <c r="AP120" s="21" t="s">
        <v>2232</v>
      </c>
      <c r="AS120" s="30"/>
      <c r="AT120" t="s">
        <v>919</v>
      </c>
      <c r="AU120" s="21" t="s">
        <v>974</v>
      </c>
      <c r="AV120" s="21">
        <v>22</v>
      </c>
      <c r="AW120" s="21" t="s">
        <v>2517</v>
      </c>
      <c r="AX120" s="30">
        <v>42872</v>
      </c>
      <c r="AY120" s="21" t="s">
        <v>2581</v>
      </c>
      <c r="AZ120" s="21" t="s">
        <v>2518</v>
      </c>
      <c r="BA120" s="21">
        <v>12</v>
      </c>
      <c r="BG120" s="30"/>
      <c r="BP120" s="30"/>
      <c r="BU120" t="s">
        <v>1278</v>
      </c>
      <c r="BV120" s="21" t="s">
        <v>1279</v>
      </c>
      <c r="BW120" s="21" t="s">
        <v>798</v>
      </c>
      <c r="BX120" s="21" t="s">
        <v>2230</v>
      </c>
      <c r="BY120" s="31">
        <v>1500000</v>
      </c>
      <c r="BZ120" s="31">
        <v>1500000</v>
      </c>
      <c r="CA120" t="s">
        <v>1987</v>
      </c>
      <c r="CF120" s="31"/>
      <c r="CG120" s="31"/>
      <c r="CM120" s="31"/>
      <c r="CN120" s="31"/>
      <c r="CT120" s="31"/>
      <c r="CU120" s="31"/>
      <c r="CV120" s="31"/>
      <c r="DA120" s="31"/>
      <c r="DB120" s="31"/>
      <c r="DC120" s="31"/>
      <c r="DH120" s="31"/>
      <c r="DI120" s="31"/>
      <c r="DO120" s="31"/>
      <c r="DP120" s="31"/>
      <c r="DR120" t="s">
        <v>2519</v>
      </c>
      <c r="DS120" t="s">
        <v>837</v>
      </c>
      <c r="DT120" t="s">
        <v>902</v>
      </c>
      <c r="DU120" s="29" t="s">
        <v>838</v>
      </c>
      <c r="DV120" t="s">
        <v>1971</v>
      </c>
      <c r="DW120" t="s">
        <v>366</v>
      </c>
      <c r="DX120" t="s">
        <v>171</v>
      </c>
      <c r="DY120" t="s">
        <v>168</v>
      </c>
      <c r="DZ120" t="s">
        <v>169</v>
      </c>
      <c r="EA120" s="22">
        <v>43077.177256944444</v>
      </c>
      <c r="EB120" t="s">
        <v>2233</v>
      </c>
      <c r="EC120" t="s">
        <v>2582</v>
      </c>
    </row>
    <row r="121" spans="1:133">
      <c r="A121" s="30"/>
      <c r="B121" s="22">
        <v>42930.554166666669</v>
      </c>
      <c r="C121" s="22" t="s">
        <v>242</v>
      </c>
      <c r="D121" s="30" t="s">
        <v>741</v>
      </c>
      <c r="E121" s="30" t="s">
        <v>528</v>
      </c>
      <c r="F121" s="30" t="s">
        <v>170</v>
      </c>
      <c r="G121" s="30" t="s">
        <v>172</v>
      </c>
      <c r="H121" t="s">
        <v>94</v>
      </c>
      <c r="I121" t="s">
        <v>743</v>
      </c>
      <c r="J121" t="s">
        <v>540</v>
      </c>
      <c r="K121" s="22">
        <v>43076.608981481484</v>
      </c>
      <c r="L121">
        <v>1</v>
      </c>
      <c r="M121" s="26">
        <v>4.22</v>
      </c>
      <c r="N121" t="s">
        <v>344</v>
      </c>
      <c r="Q121" s="29" t="s">
        <v>13</v>
      </c>
      <c r="R121" s="29" t="str">
        <f>IFERROR(MID(RADataTable[[#This Row],[RAtemplate]],1,LEN(RADataTable[[#This Row],[RAtemplate]])-8),"RA") &amp; " " &amp; RADataTable[[#This Row],[prop_id0]] &amp; " " &amp; RADataTable[[#This Row],[last0]]</f>
        <v>RA 1749173 Borgwardt</v>
      </c>
      <c r="U121" s="21" t="str">
        <f>IF(signer1="PD",IF(ISBLANK(RADataTable[[#This Row],[sign_blck_name]]),"",RADataTable[[#This Row],[sign_blck_name]]),IF(ISBLANK(signer1),"",signer1))</f>
        <v>Jack Snoeyink</v>
      </c>
      <c r="V121" s="29" t="str">
        <f>signer2</f>
        <v>Cognizant Program Director</v>
      </c>
      <c r="W121" s="15" t="str">
        <f>HYPERLINK("https://www.ejacket.nsf.gov/ej/showProposal.do?Continue=Y&amp;ID="&amp;RADataTable[[#This Row],[prop_id0]],"eJ")</f>
        <v>eJ</v>
      </c>
      <c r="X121" s="15" t="str">
        <f>HYPERLINK("mailto:"&amp;RADataTable[[#This Row],[email]]&amp;"&amp;subject=Your NSF Proposal:  "&amp;RADataTable[[#This Row],[Div]]&amp;" "&amp;RADataTable[[#This Row],[prop_id0]], RADataTable[[#This Row],[email]])</f>
        <v>steffen.borgwardt@ucdenver.edu</v>
      </c>
      <c r="Y121" s="15" t="str">
        <f>HYPERLINK("mailto:"&amp;RADataTable[[#This Row],[allPIemail]]&amp;"&amp;subject=NSF Proposal:  "&amp;RADataTable[[#This Row],[Div]]&amp;" "&amp;RADataTable[[#This Row],[prop_id0]], "PIs@")</f>
        <v>PIs@</v>
      </c>
      <c r="Z121" t="s">
        <v>742</v>
      </c>
      <c r="AA121" t="s">
        <v>541</v>
      </c>
      <c r="AB121">
        <v>4</v>
      </c>
      <c r="AC121">
        <v>4</v>
      </c>
      <c r="AD121"/>
      <c r="AE121" s="21" t="str">
        <f>IF(RADataTable[[#This Row],[maxScore]]-RADataTable[[#This Row],[minScore]]&gt;4,"Y","")</f>
        <v>Y</v>
      </c>
      <c r="AF121" s="21">
        <v>2</v>
      </c>
      <c r="AG121" s="26">
        <v>3.75</v>
      </c>
      <c r="AH121">
        <v>7</v>
      </c>
      <c r="AI121" t="s">
        <v>748</v>
      </c>
      <c r="AJ121" s="30">
        <v>43031.583333333336</v>
      </c>
      <c r="AK121" s="13">
        <v>470400</v>
      </c>
      <c r="AL121" s="13">
        <v>470400</v>
      </c>
      <c r="AM121">
        <v>0</v>
      </c>
      <c r="AN121" s="30">
        <v>43101</v>
      </c>
      <c r="AO121" s="21">
        <v>60</v>
      </c>
      <c r="AP121" s="21" t="s">
        <v>749</v>
      </c>
      <c r="AS121" s="30"/>
      <c r="AT121" t="s">
        <v>544</v>
      </c>
      <c r="AU121" s="21" t="s">
        <v>365</v>
      </c>
      <c r="AV121" s="21">
        <v>22</v>
      </c>
      <c r="AW121" s="21" t="s">
        <v>839</v>
      </c>
      <c r="AX121" s="30">
        <v>43032</v>
      </c>
      <c r="AY121" s="21" t="s">
        <v>840</v>
      </c>
      <c r="AZ121" s="21" t="s">
        <v>841</v>
      </c>
      <c r="BA121" s="21">
        <v>14</v>
      </c>
      <c r="BG121" s="30"/>
      <c r="BP121" s="30"/>
      <c r="BU121" t="s">
        <v>541</v>
      </c>
      <c r="BV121" s="21" t="s">
        <v>542</v>
      </c>
      <c r="BW121" s="21" t="s">
        <v>746</v>
      </c>
      <c r="BX121" s="21" t="s">
        <v>747</v>
      </c>
      <c r="BY121" s="31">
        <v>470400</v>
      </c>
      <c r="BZ121" s="31">
        <v>470400</v>
      </c>
      <c r="CA121" t="s">
        <v>744</v>
      </c>
      <c r="CF121" s="31"/>
      <c r="CG121" s="31"/>
      <c r="CM121" s="31"/>
      <c r="CN121" s="31"/>
      <c r="CT121" s="31"/>
      <c r="CU121" s="31"/>
      <c r="CV121" s="31"/>
      <c r="DA121" s="31"/>
      <c r="DB121" s="31"/>
      <c r="DC121" s="31"/>
      <c r="DH121" s="31"/>
      <c r="DI121" s="31"/>
      <c r="DO121" s="31"/>
      <c r="DP121" s="31"/>
      <c r="DR121" t="s">
        <v>246</v>
      </c>
      <c r="DS121" t="s">
        <v>837</v>
      </c>
      <c r="DT121" t="s">
        <v>529</v>
      </c>
      <c r="DU121" s="29" t="s">
        <v>838</v>
      </c>
      <c r="DV121" t="s">
        <v>173</v>
      </c>
      <c r="DW121" t="s">
        <v>366</v>
      </c>
      <c r="DX121" t="s">
        <v>171</v>
      </c>
      <c r="DY121" t="s">
        <v>168</v>
      </c>
      <c r="DZ121" t="s">
        <v>169</v>
      </c>
      <c r="EA121" s="22">
        <v>43077.177256944444</v>
      </c>
      <c r="EB121" t="s">
        <v>750</v>
      </c>
      <c r="EC121" t="s">
        <v>842</v>
      </c>
    </row>
    <row r="122" spans="1:133">
      <c r="A122" s="30"/>
      <c r="B122" s="22">
        <v>42934.808333333334</v>
      </c>
      <c r="C122" s="22" t="s">
        <v>242</v>
      </c>
      <c r="D122" s="30" t="s">
        <v>741</v>
      </c>
      <c r="E122" s="30" t="s">
        <v>528</v>
      </c>
      <c r="F122" s="30" t="s">
        <v>170</v>
      </c>
      <c r="G122" s="30" t="s">
        <v>172</v>
      </c>
      <c r="H122" t="s">
        <v>94</v>
      </c>
      <c r="I122" t="s">
        <v>743</v>
      </c>
      <c r="J122" t="s">
        <v>540</v>
      </c>
      <c r="K122" s="22">
        <v>43076.609027777777</v>
      </c>
      <c r="L122">
        <v>1</v>
      </c>
      <c r="M122" s="26">
        <v>4.22</v>
      </c>
      <c r="N122" t="s">
        <v>344</v>
      </c>
      <c r="Q122" s="29" t="s">
        <v>13</v>
      </c>
      <c r="R122" s="29" t="str">
        <f>IFERROR(MID(RADataTable[[#This Row],[RAtemplate]],1,LEN(RADataTable[[#This Row],[RAtemplate]])-8),"RA") &amp; " " &amp; RADataTable[[#This Row],[prop_id0]] &amp; " " &amp; RADataTable[[#This Row],[last0]]</f>
        <v>RA 1750076 Schroeder</v>
      </c>
      <c r="U122" s="21" t="str">
        <f>IF(signer1="PD",IF(ISBLANK(RADataTable[[#This Row],[sign_blck_name]]),"",RADataTable[[#This Row],[sign_blck_name]]),IF(ISBLANK(signer1),"",signer1))</f>
        <v>Jack Snoeyink</v>
      </c>
      <c r="V122" s="29" t="str">
        <f>signer2</f>
        <v>Cognizant Program Director</v>
      </c>
      <c r="W122" s="15" t="str">
        <f>HYPERLINK("https://www.ejacket.nsf.gov/ej/showProposal.do?Continue=Y&amp;ID="&amp;RADataTable[[#This Row],[prop_id0]],"eJ")</f>
        <v>eJ</v>
      </c>
      <c r="X122" s="15" t="str">
        <f>HYPERLINK("mailto:"&amp;RADataTable[[#This Row],[email]]&amp;"&amp;subject=Your NSF Proposal:  "&amp;RADataTable[[#This Row],[Div]]&amp;" "&amp;RADataTable[[#This Row],[prop_id0]], RADataTable[[#This Row],[email]])</f>
        <v>craig@ucr.edu</v>
      </c>
      <c r="Y122" s="15" t="str">
        <f>HYPERLINK("mailto:"&amp;RADataTable[[#This Row],[allPIemail]]&amp;"&amp;subject=NSF Proposal:  "&amp;RADataTable[[#This Row],[Div]]&amp;" "&amp;RADataTable[[#This Row],[prop_id0]], "PIs@")</f>
        <v>PIs@</v>
      </c>
      <c r="Z122" t="s">
        <v>742</v>
      </c>
      <c r="AA122" t="s">
        <v>658</v>
      </c>
      <c r="AB122">
        <v>4</v>
      </c>
      <c r="AC122">
        <v>4</v>
      </c>
      <c r="AD122"/>
      <c r="AE122" s="21" t="str">
        <f>IF(RADataTable[[#This Row],[maxScore]]-RADataTable[[#This Row],[minScore]]&gt;4,"Y","")</f>
        <v/>
      </c>
      <c r="AF122" s="21">
        <v>3</v>
      </c>
      <c r="AG122" s="26">
        <v>4</v>
      </c>
      <c r="AH122">
        <v>7</v>
      </c>
      <c r="AI122" t="s">
        <v>786</v>
      </c>
      <c r="AJ122" s="30">
        <v>43031.584027777775</v>
      </c>
      <c r="AK122" s="13">
        <v>440331</v>
      </c>
      <c r="AL122" s="13">
        <v>440331</v>
      </c>
      <c r="AM122">
        <v>0</v>
      </c>
      <c r="AN122" s="30">
        <v>43101</v>
      </c>
      <c r="AO122" s="21">
        <v>60</v>
      </c>
      <c r="AP122" s="21" t="s">
        <v>787</v>
      </c>
      <c r="AS122" s="30"/>
      <c r="AT122" t="s">
        <v>544</v>
      </c>
      <c r="AU122" s="21" t="s">
        <v>365</v>
      </c>
      <c r="AV122" s="21">
        <v>22</v>
      </c>
      <c r="AW122" s="21" t="s">
        <v>839</v>
      </c>
      <c r="AX122" s="30">
        <v>43032</v>
      </c>
      <c r="AY122" s="21" t="s">
        <v>860</v>
      </c>
      <c r="AZ122" s="21" t="s">
        <v>841</v>
      </c>
      <c r="BA122" s="21">
        <v>14</v>
      </c>
      <c r="BG122" s="30"/>
      <c r="BP122" s="30"/>
      <c r="BU122" t="s">
        <v>658</v>
      </c>
      <c r="BV122" s="21" t="s">
        <v>659</v>
      </c>
      <c r="BW122" s="21" t="s">
        <v>785</v>
      </c>
      <c r="BX122" s="21" t="s">
        <v>341</v>
      </c>
      <c r="BY122" s="31">
        <v>440331</v>
      </c>
      <c r="BZ122" s="31">
        <v>440331</v>
      </c>
      <c r="CA122" t="s">
        <v>784</v>
      </c>
      <c r="CF122" s="31"/>
      <c r="CG122" s="31"/>
      <c r="CM122" s="31"/>
      <c r="CN122" s="31"/>
      <c r="CT122" s="31"/>
      <c r="CU122" s="31"/>
      <c r="CV122" s="31"/>
      <c r="DA122" s="31"/>
      <c r="DB122" s="31"/>
      <c r="DC122" s="31"/>
      <c r="DH122" s="31"/>
      <c r="DI122" s="31"/>
      <c r="DO122" s="31"/>
      <c r="DP122" s="31"/>
      <c r="DR122" t="s">
        <v>246</v>
      </c>
      <c r="DS122" t="s">
        <v>837</v>
      </c>
      <c r="DT122" t="s">
        <v>529</v>
      </c>
      <c r="DU122" s="29" t="s">
        <v>838</v>
      </c>
      <c r="DV122" t="s">
        <v>173</v>
      </c>
      <c r="DW122" t="s">
        <v>366</v>
      </c>
      <c r="DX122" t="s">
        <v>171</v>
      </c>
      <c r="DY122" t="s">
        <v>168</v>
      </c>
      <c r="DZ122" t="s">
        <v>169</v>
      </c>
      <c r="EA122" s="22">
        <v>43077.177256944444</v>
      </c>
      <c r="EB122" t="s">
        <v>788</v>
      </c>
      <c r="EC122" t="s">
        <v>861</v>
      </c>
    </row>
  </sheetData>
  <conditionalFormatting sqref="Q2:Q122">
    <cfRule type="expression" dxfId="72" priority="1">
      <formula>LEFT($AI2,1)="E"</formula>
    </cfRule>
  </conditionalFormatting>
  <dataValidations count="1">
    <dataValidation type="list" allowBlank="1" showInputMessage="1" showErrorMessage="1" sqref="Q2:Q122 O2:O12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AG2:AG122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6"/>
  <sheetViews>
    <sheetView showGridLines="0" workbookViewId="0">
      <selection activeCell="B8" sqref="B8"/>
    </sheetView>
  </sheetViews>
  <sheetFormatPr defaultRowHeight="14.6"/>
  <cols>
    <col min="1" max="1" width="10.3828125" style="6" customWidth="1"/>
    <col min="2" max="2" width="16.3046875" customWidth="1"/>
    <col min="3" max="3" width="3.3046875" style="5" customWidth="1"/>
    <col min="4" max="4" width="15.69140625" style="23"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10.15234375" customWidth="1"/>
    <col min="15" max="15" width="23.3828125" customWidth="1"/>
    <col min="16" max="16" width="12"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c r="A1" s="60" t="s">
        <v>286</v>
      </c>
      <c r="H1" s="3" t="s">
        <v>237</v>
      </c>
      <c r="M1" s="20" t="s">
        <v>103</v>
      </c>
    </row>
    <row r="2" spans="1:13" ht="16" customHeight="1">
      <c r="A2" s="9" t="s">
        <v>886</v>
      </c>
      <c r="H2" s="3" t="s">
        <v>140</v>
      </c>
      <c r="J2" s="29"/>
      <c r="M2" s="19" t="s">
        <v>104</v>
      </c>
    </row>
    <row r="3" spans="1:13" ht="16" customHeight="1">
      <c r="A3" s="9" t="s">
        <v>885</v>
      </c>
      <c r="H3" s="3" t="s">
        <v>141</v>
      </c>
      <c r="J3" s="29"/>
      <c r="M3" s="19" t="s">
        <v>99</v>
      </c>
    </row>
    <row r="4" spans="1:13" ht="16" customHeight="1">
      <c r="A4" s="9" t="s">
        <v>883</v>
      </c>
      <c r="C4" s="16"/>
      <c r="E4" s="4"/>
      <c r="F4" s="29"/>
      <c r="H4" s="3" t="s">
        <v>236</v>
      </c>
      <c r="J4" s="29"/>
      <c r="M4" s="19" t="s">
        <v>105</v>
      </c>
    </row>
    <row r="5" spans="1:13" ht="16" customHeight="1">
      <c r="A5" s="9" t="s">
        <v>884</v>
      </c>
      <c r="B5" s="4"/>
      <c r="E5" s="4"/>
      <c r="F5" s="29"/>
      <c r="J5" s="29"/>
      <c r="M5" s="19" t="s">
        <v>100</v>
      </c>
    </row>
    <row r="6" spans="1:13" ht="16" customHeight="1">
      <c r="A6" s="9" t="s">
        <v>887</v>
      </c>
      <c r="E6" s="4"/>
      <c r="F6" s="29"/>
      <c r="H6" t="s">
        <v>240</v>
      </c>
      <c r="J6" s="30"/>
      <c r="M6" s="19" t="s">
        <v>106</v>
      </c>
    </row>
    <row r="7" spans="1:13" ht="16" customHeight="1">
      <c r="A7" s="9" t="s">
        <v>889</v>
      </c>
      <c r="E7" s="4"/>
      <c r="F7" s="29"/>
      <c r="I7" s="24" t="s">
        <v>241</v>
      </c>
      <c r="J7" s="24"/>
      <c r="K7" s="7" t="s">
        <v>900</v>
      </c>
      <c r="M7" s="19" t="s">
        <v>107</v>
      </c>
    </row>
    <row r="8" spans="1:13" ht="16" customHeight="1">
      <c r="A8" s="9" t="s">
        <v>888</v>
      </c>
      <c r="E8" s="4"/>
      <c r="F8" s="43"/>
      <c r="I8" s="24" t="s">
        <v>488</v>
      </c>
      <c r="J8" s="24"/>
      <c r="K8" s="7" t="s">
        <v>206</v>
      </c>
      <c r="M8" s="19" t="s">
        <v>101</v>
      </c>
    </row>
    <row r="9" spans="1:13" ht="16" customHeight="1">
      <c r="A9" s="9"/>
      <c r="E9" s="4"/>
      <c r="F9" s="30"/>
      <c r="M9" s="19" t="s">
        <v>108</v>
      </c>
    </row>
    <row r="10" spans="1:13" ht="18.45">
      <c r="A10" s="47"/>
      <c r="B10" s="120" t="s">
        <v>285</v>
      </c>
      <c r="C10" s="120"/>
      <c r="D10" s="120"/>
      <c r="E10" s="48"/>
      <c r="I10" s="25" t="s">
        <v>139</v>
      </c>
      <c r="K10" s="6"/>
      <c r="M10" s="19" t="s">
        <v>109</v>
      </c>
    </row>
    <row r="11" spans="1:13" ht="15.9">
      <c r="A11" s="49"/>
      <c r="B11" s="50" t="s">
        <v>259</v>
      </c>
      <c r="C11" s="50"/>
      <c r="D11" s="50" t="s">
        <v>260</v>
      </c>
      <c r="E11" s="50"/>
      <c r="I11" s="25" t="s">
        <v>174</v>
      </c>
      <c r="K11" s="6"/>
      <c r="M11" s="19" t="s">
        <v>97</v>
      </c>
    </row>
    <row r="12" spans="1:13" ht="20.149999999999999" customHeight="1">
      <c r="B12" s="51" t="s">
        <v>261</v>
      </c>
      <c r="C12" s="51"/>
      <c r="D12" s="59" t="s">
        <v>277</v>
      </c>
      <c r="E12" s="52" t="s">
        <v>278</v>
      </c>
      <c r="I12" s="25" t="s">
        <v>175</v>
      </c>
      <c r="K12" s="6"/>
      <c r="M12" s="19" t="s">
        <v>110</v>
      </c>
    </row>
    <row r="13" spans="1:13" ht="20.149999999999999" customHeight="1">
      <c r="B13" s="51" t="s">
        <v>272</v>
      </c>
      <c r="C13" s="51"/>
      <c r="D13" s="53" t="s">
        <v>879</v>
      </c>
      <c r="E13" s="54"/>
      <c r="I13" s="25" t="s">
        <v>177</v>
      </c>
      <c r="K13" s="6"/>
      <c r="M13" s="19" t="s">
        <v>111</v>
      </c>
    </row>
    <row r="14" spans="1:13" ht="20.149999999999999" customHeight="1">
      <c r="B14" s="51" t="s">
        <v>266</v>
      </c>
      <c r="C14" s="51"/>
      <c r="D14" s="53" t="s">
        <v>267</v>
      </c>
      <c r="E14" s="54"/>
      <c r="K14" s="6"/>
      <c r="M14" s="19" t="s">
        <v>112</v>
      </c>
    </row>
    <row r="15" spans="1:13" ht="20.149999999999999" customHeight="1">
      <c r="B15" s="51" t="s">
        <v>262</v>
      </c>
      <c r="C15" s="51"/>
      <c r="D15" s="53" t="s">
        <v>281</v>
      </c>
      <c r="E15" s="54"/>
      <c r="G15" s="21"/>
      <c r="K15" s="6"/>
      <c r="M15" s="19" t="s">
        <v>504</v>
      </c>
    </row>
    <row r="16" spans="1:13" ht="20.149999999999999" customHeight="1">
      <c r="B16" s="51" t="s">
        <v>263</v>
      </c>
      <c r="C16" s="51"/>
      <c r="D16" s="55" t="s">
        <v>280</v>
      </c>
      <c r="E16" s="56"/>
      <c r="G16" s="21"/>
      <c r="K16" s="6"/>
      <c r="M16" s="19" t="s">
        <v>113</v>
      </c>
    </row>
    <row r="17" spans="2:13" ht="20.149999999999999" customHeight="1">
      <c r="B17" s="51" t="s">
        <v>264</v>
      </c>
      <c r="C17" s="51"/>
      <c r="D17" s="53" t="s">
        <v>279</v>
      </c>
      <c r="E17" s="54"/>
      <c r="G17" s="21"/>
      <c r="K17" s="6"/>
      <c r="M17" s="19" t="s">
        <v>114</v>
      </c>
    </row>
    <row r="18" spans="2:13" ht="20.149999999999999" customHeight="1">
      <c r="B18" s="51" t="s">
        <v>265</v>
      </c>
      <c r="C18" s="51"/>
      <c r="D18" s="53" t="s">
        <v>283</v>
      </c>
      <c r="E18" s="54"/>
      <c r="K18" s="6"/>
      <c r="M18" s="19" t="s">
        <v>115</v>
      </c>
    </row>
    <row r="19" spans="2:13" ht="20.149999999999999" customHeight="1">
      <c r="B19" s="51" t="s">
        <v>269</v>
      </c>
      <c r="C19" s="51"/>
      <c r="D19" s="53" t="s">
        <v>284</v>
      </c>
      <c r="E19" s="54"/>
      <c r="K19" s="6"/>
      <c r="M19" s="19" t="s">
        <v>116</v>
      </c>
    </row>
    <row r="20" spans="2:13" ht="20.149999999999999" customHeight="1">
      <c r="B20" s="51" t="s">
        <v>270</v>
      </c>
      <c r="C20" s="51"/>
      <c r="D20" s="53" t="s">
        <v>271</v>
      </c>
      <c r="E20" s="54"/>
      <c r="K20" s="6"/>
      <c r="M20" s="19" t="s">
        <v>117</v>
      </c>
    </row>
    <row r="21" spans="2:13" ht="20.149999999999999" customHeight="1">
      <c r="B21" s="51" t="s">
        <v>273</v>
      </c>
      <c r="C21" s="51"/>
      <c r="D21" s="53" t="s">
        <v>274</v>
      </c>
      <c r="E21" s="54"/>
      <c r="K21" s="6"/>
      <c r="M21" s="19" t="s">
        <v>118</v>
      </c>
    </row>
    <row r="22" spans="2:13" ht="20.149999999999999" customHeight="1">
      <c r="B22" s="51" t="s">
        <v>275</v>
      </c>
      <c r="C22" s="51"/>
      <c r="D22" s="53" t="s">
        <v>276</v>
      </c>
      <c r="E22" s="54"/>
      <c r="K22" s="6"/>
      <c r="M22" s="19" t="s">
        <v>119</v>
      </c>
    </row>
    <row r="23" spans="2:13" ht="20.149999999999999" customHeight="1">
      <c r="B23" s="51" t="s">
        <v>268</v>
      </c>
      <c r="C23" s="57"/>
      <c r="D23" s="117" t="str">
        <f>INDEX(codes_prop_stts,select_prop_stts)</f>
        <v>%</v>
      </c>
      <c r="E23" s="58"/>
      <c r="I23" s="23"/>
      <c r="M23" s="19" t="s">
        <v>98</v>
      </c>
    </row>
    <row r="24" spans="2:13" ht="20.149999999999999" customHeight="1">
      <c r="B24" s="3"/>
      <c r="C24" s="3"/>
      <c r="D24" s="3"/>
      <c r="E24" s="3"/>
      <c r="I24" s="23"/>
      <c r="M24" s="19" t="s">
        <v>120</v>
      </c>
    </row>
    <row r="25" spans="2:13" ht="20.149999999999999" customHeight="1">
      <c r="C25"/>
      <c r="D25"/>
      <c r="I25" s="23"/>
      <c r="M25" s="19" t="s">
        <v>121</v>
      </c>
    </row>
    <row r="26" spans="2:13" ht="19.75" customHeight="1">
      <c r="C26"/>
      <c r="D26"/>
      <c r="I26" s="23"/>
      <c r="M26" s="19" t="s">
        <v>122</v>
      </c>
    </row>
    <row r="27" spans="2:13">
      <c r="B27" s="25"/>
      <c r="C27"/>
      <c r="D27" s="25"/>
      <c r="E27" s="25"/>
      <c r="H27" s="5"/>
      <c r="M27" s="19" t="s">
        <v>123</v>
      </c>
    </row>
    <row r="28" spans="2:13">
      <c r="B28" s="25"/>
      <c r="C28"/>
      <c r="D28" s="25"/>
      <c r="E28" s="25"/>
      <c r="H28" s="5"/>
      <c r="M28" s="19" t="s">
        <v>124</v>
      </c>
    </row>
    <row r="29" spans="2:13">
      <c r="B29" s="25"/>
      <c r="C29"/>
      <c r="D29" s="25"/>
      <c r="G29" s="12"/>
      <c r="H29" s="5"/>
      <c r="M29" s="19" t="s">
        <v>125</v>
      </c>
    </row>
    <row r="30" spans="2:13">
      <c r="B30" s="25"/>
      <c r="C30"/>
      <c r="D30" s="25"/>
      <c r="G30" s="12"/>
      <c r="H30" s="5"/>
    </row>
    <row r="31" spans="2:13">
      <c r="B31" s="25"/>
      <c r="C31"/>
      <c r="D31" s="25"/>
    </row>
    <row r="32" spans="2:13" ht="16" customHeight="1">
      <c r="B32" s="25"/>
      <c r="C32"/>
      <c r="D32" s="25"/>
    </row>
    <row r="33" spans="2:4">
      <c r="B33" s="25"/>
      <c r="C33"/>
      <c r="D33" s="25"/>
    </row>
    <row r="34" spans="2:4">
      <c r="B34" s="25"/>
      <c r="C34"/>
      <c r="D34" s="25"/>
    </row>
    <row r="35" spans="2:4">
      <c r="B35" s="25"/>
      <c r="C35" s="43"/>
      <c r="D35" s="25"/>
    </row>
    <row r="36" spans="2:4">
      <c r="B36" s="25"/>
      <c r="C36"/>
      <c r="D36" s="25"/>
    </row>
    <row r="37" spans="2:4">
      <c r="B37" s="25"/>
      <c r="C37"/>
      <c r="D37" s="25"/>
    </row>
    <row r="38" spans="2:4">
      <c r="B38" s="25"/>
      <c r="C38"/>
      <c r="D38" s="25"/>
    </row>
    <row r="39" spans="2:4">
      <c r="B39" s="25"/>
      <c r="C39"/>
      <c r="D39" s="25"/>
    </row>
    <row r="40" spans="2:4">
      <c r="B40" s="25"/>
      <c r="C40"/>
      <c r="D40" s="25"/>
    </row>
    <row r="41" spans="2:4">
      <c r="B41" s="25"/>
      <c r="C41"/>
      <c r="D41" s="25"/>
    </row>
    <row r="42" spans="2:4">
      <c r="B42" s="25"/>
      <c r="C42"/>
      <c r="D42" s="25"/>
    </row>
    <row r="43" spans="2:4">
      <c r="B43" s="25"/>
      <c r="C43"/>
      <c r="D43" s="25"/>
    </row>
    <row r="44" spans="2:4">
      <c r="B44" s="25"/>
      <c r="C44"/>
      <c r="D44" s="25"/>
    </row>
    <row r="45" spans="2:4">
      <c r="B45" s="25"/>
      <c r="C45"/>
      <c r="D45" s="25"/>
    </row>
    <row r="46" spans="2:4">
      <c r="D46" s="25"/>
    </row>
  </sheetData>
  <mergeCells count="1">
    <mergeCell ref="B10:D10"/>
  </mergeCells>
  <conditionalFormatting sqref="D12:E22">
    <cfRule type="expression" dxfId="71" priority="1">
      <formula>SEARCH("eg:",D12)=1</formula>
    </cfRule>
  </conditionalFormatting>
  <dataValidations count="1">
    <dataValidation type="list" allowBlank="1" showInputMessage="1" showErrorMessage="1" sqref="B25 D25:E25">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10</xdr:col>
                    <xdr:colOff>10886</xdr:colOff>
                    <xdr:row>7</xdr:row>
                    <xdr:rowOff>174171</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2</xdr:col>
                    <xdr:colOff>217714</xdr:colOff>
                    <xdr:row>22</xdr:row>
                    <xdr:rowOff>10886</xdr:rowOff>
                  </from>
                  <to>
                    <xdr:col>5</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1</xdr:col>
                    <xdr:colOff>97971</xdr:colOff>
                    <xdr:row>4</xdr:row>
                    <xdr:rowOff>201386</xdr:rowOff>
                  </from>
                  <to>
                    <xdr:col>2</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73"/>
  <sheetViews>
    <sheetView workbookViewId="0">
      <selection activeCell="H28" sqref="H28"/>
    </sheetView>
  </sheetViews>
  <sheetFormatPr defaultRowHeight="14.6"/>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4.15234375" style="21" customWidth="1"/>
    <col min="38" max="38" width="15.15234375" style="82" customWidth="1"/>
    <col min="39" max="39" width="16.3046875" style="82" customWidth="1"/>
    <col min="40" max="40" width="11.304687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c r="A1" s="30" t="s">
        <v>87</v>
      </c>
      <c r="B1" s="30" t="s">
        <v>7</v>
      </c>
      <c r="C1" t="s">
        <v>17</v>
      </c>
      <c r="D1" s="14" t="s">
        <v>8</v>
      </c>
      <c r="E1" t="s">
        <v>443</v>
      </c>
      <c r="F1" t="s">
        <v>444</v>
      </c>
      <c r="G1" t="s">
        <v>409</v>
      </c>
      <c r="H1" t="s">
        <v>410</v>
      </c>
      <c r="I1" t="s">
        <v>411</v>
      </c>
      <c r="J1" t="s">
        <v>412</v>
      </c>
      <c r="K1" t="s">
        <v>413</v>
      </c>
      <c r="L1" t="s">
        <v>414</v>
      </c>
      <c r="M1" t="s">
        <v>166</v>
      </c>
      <c r="N1" t="s">
        <v>164</v>
      </c>
      <c r="O1" t="s">
        <v>415</v>
      </c>
      <c r="P1" s="21" t="s">
        <v>417</v>
      </c>
      <c r="Q1" t="s">
        <v>418</v>
      </c>
      <c r="R1" s="32" t="s">
        <v>419</v>
      </c>
      <c r="S1" s="21" t="s">
        <v>102</v>
      </c>
      <c r="T1" t="s">
        <v>88</v>
      </c>
      <c r="U1" t="s">
        <v>9</v>
      </c>
      <c r="V1" t="s">
        <v>1</v>
      </c>
      <c r="W1" t="s">
        <v>144</v>
      </c>
      <c r="X1" t="s">
        <v>0</v>
      </c>
      <c r="Y1" t="s">
        <v>10</v>
      </c>
      <c r="Z1" t="s">
        <v>18</v>
      </c>
      <c r="AA1" t="s">
        <v>317</v>
      </c>
      <c r="AB1" s="14" t="s">
        <v>446</v>
      </c>
      <c r="AC1" t="s">
        <v>146</v>
      </c>
      <c r="AD1" t="s">
        <v>318</v>
      </c>
      <c r="AE1" t="s">
        <v>420</v>
      </c>
      <c r="AF1" t="s">
        <v>416</v>
      </c>
      <c r="AG1" t="s">
        <v>167</v>
      </c>
      <c r="AH1" t="s">
        <v>36</v>
      </c>
      <c r="AK1" s="88" t="s">
        <v>449</v>
      </c>
      <c r="AL1"/>
      <c r="AM1" s="88" t="s">
        <v>447</v>
      </c>
      <c r="AN1"/>
      <c r="AO1"/>
      <c r="AP1"/>
      <c r="AQ1"/>
      <c r="AR1"/>
      <c r="AS1"/>
      <c r="AT1"/>
      <c r="AU1"/>
      <c r="AZ1"/>
      <c r="BB1"/>
      <c r="BC1"/>
      <c r="BO1"/>
      <c r="BS1"/>
    </row>
    <row r="2" spans="1:71">
      <c r="A2" s="30">
        <v>42930.63244212963</v>
      </c>
      <c r="B2" s="30">
        <v>42807.490277777775</v>
      </c>
      <c r="C2" t="s">
        <v>1967</v>
      </c>
      <c r="D2" t="s">
        <v>1965</v>
      </c>
      <c r="E2" s="8" t="s">
        <v>94</v>
      </c>
      <c r="F2" s="8" t="s">
        <v>94</v>
      </c>
      <c r="G2" t="s">
        <v>741</v>
      </c>
      <c r="H2" t="s">
        <v>741</v>
      </c>
      <c r="I2" t="s">
        <v>901</v>
      </c>
      <c r="J2" t="s">
        <v>901</v>
      </c>
      <c r="K2" t="s">
        <v>948</v>
      </c>
      <c r="L2" t="s">
        <v>948</v>
      </c>
      <c r="M2" t="s">
        <v>1974</v>
      </c>
      <c r="N2" s="8" t="s">
        <v>170</v>
      </c>
      <c r="O2" s="8" t="s">
        <v>2709</v>
      </c>
      <c r="P2" s="21">
        <v>2017</v>
      </c>
      <c r="Q2" s="8" t="s">
        <v>898</v>
      </c>
      <c r="R2" s="32">
        <v>250000</v>
      </c>
      <c r="S2" s="21">
        <f t="shared" ref="S2:S33" si="0">S1+(X2&lt;&gt;X1)</f>
        <v>1</v>
      </c>
      <c r="T2" s="8" t="s">
        <v>96</v>
      </c>
      <c r="U2" s="8" t="s">
        <v>940</v>
      </c>
      <c r="V2" s="87" t="str">
        <f>HYPERLINK("https://www.ejacket.nsf.gov/ej/showProposal.do?ID="&amp;ckSplitsTable[[#This Row],[prop_id]],"eJ")</f>
        <v>eJ</v>
      </c>
      <c r="W2" s="8" t="s">
        <v>742</v>
      </c>
      <c r="X2" s="8" t="s">
        <v>940</v>
      </c>
      <c r="Y2" s="8" t="s">
        <v>941</v>
      </c>
      <c r="Z2" s="8" t="s">
        <v>1975</v>
      </c>
      <c r="AA2" s="8" t="s">
        <v>244</v>
      </c>
      <c r="AB2" s="87" t="str">
        <f>HYPERLINK("mailto:"&amp;ckSplitsTable[[#This Row],[email]]&amp;"&amp;subject=Your NSF Proposal:  "&amp;ckSplitsTable[[#This Row],[prop_id]],ckSplitsTable[[#This Row],[email]])</f>
        <v>sham@cs.washington.edu</v>
      </c>
      <c r="AC2" s="8" t="s">
        <v>1979</v>
      </c>
      <c r="AD2" s="8" t="s">
        <v>1968</v>
      </c>
      <c r="AE2" s="8" t="s">
        <v>1968</v>
      </c>
      <c r="AF2" s="8" t="s">
        <v>940</v>
      </c>
      <c r="AG2" s="8" t="s">
        <v>1977</v>
      </c>
      <c r="AH2" s="8" t="s">
        <v>1978</v>
      </c>
      <c r="AK2" s="88" t="s">
        <v>450</v>
      </c>
      <c r="AL2" s="88" t="s">
        <v>10</v>
      </c>
      <c r="AM2">
        <v>2015</v>
      </c>
      <c r="AN2" t="s">
        <v>448</v>
      </c>
      <c r="AO2"/>
      <c r="AP2"/>
      <c r="AQ2"/>
      <c r="AR2"/>
      <c r="AS2"/>
      <c r="AT2"/>
      <c r="AU2"/>
      <c r="AZ2"/>
      <c r="BB2"/>
      <c r="BC2"/>
      <c r="BO2"/>
      <c r="BS2"/>
    </row>
    <row r="3" spans="1:71">
      <c r="A3" s="30">
        <v>42930.63244212963</v>
      </c>
      <c r="B3" s="30">
        <v>42807.490277777775</v>
      </c>
      <c r="C3" t="s">
        <v>1967</v>
      </c>
      <c r="D3" t="s">
        <v>1965</v>
      </c>
      <c r="E3" s="8" t="s">
        <v>94</v>
      </c>
      <c r="F3" s="8" t="s">
        <v>94</v>
      </c>
      <c r="G3" t="s">
        <v>741</v>
      </c>
      <c r="H3" t="s">
        <v>2733</v>
      </c>
      <c r="I3" t="s">
        <v>901</v>
      </c>
      <c r="J3" t="s">
        <v>901</v>
      </c>
      <c r="K3" t="s">
        <v>948</v>
      </c>
      <c r="L3" t="s">
        <v>2734</v>
      </c>
      <c r="M3" t="s">
        <v>1974</v>
      </c>
      <c r="N3" s="8" t="s">
        <v>170</v>
      </c>
      <c r="O3" s="8" t="s">
        <v>2709</v>
      </c>
      <c r="P3" s="21">
        <v>2017</v>
      </c>
      <c r="Q3" s="8" t="s">
        <v>517</v>
      </c>
      <c r="R3" s="32">
        <v>500000</v>
      </c>
      <c r="S3" s="21">
        <f t="shared" si="0"/>
        <v>1</v>
      </c>
      <c r="T3" s="8" t="s">
        <v>96</v>
      </c>
      <c r="U3" s="8" t="s">
        <v>940</v>
      </c>
      <c r="V3" s="87" t="str">
        <f>HYPERLINK("https://www.ejacket.nsf.gov/ej/showProposal.do?ID="&amp;ckSplitsTable[[#This Row],[prop_id]],"eJ")</f>
        <v>eJ</v>
      </c>
      <c r="W3" s="8" t="s">
        <v>742</v>
      </c>
      <c r="X3" s="8" t="s">
        <v>940</v>
      </c>
      <c r="Y3" s="8" t="s">
        <v>941</v>
      </c>
      <c r="Z3" s="8" t="s">
        <v>1975</v>
      </c>
      <c r="AA3" s="8" t="s">
        <v>244</v>
      </c>
      <c r="AB3" s="87" t="str">
        <f>HYPERLINK("mailto:"&amp;ckSplitsTable[[#This Row],[email]]&amp;"&amp;subject=Your NSF Proposal:  "&amp;ckSplitsTable[[#This Row],[prop_id]],ckSplitsTable[[#This Row],[email]])</f>
        <v>sham@cs.washington.edu</v>
      </c>
      <c r="AC3" s="8" t="s">
        <v>1979</v>
      </c>
      <c r="AD3" s="8" t="s">
        <v>1968</v>
      </c>
      <c r="AE3" s="8" t="s">
        <v>1968</v>
      </c>
      <c r="AF3" s="8" t="s">
        <v>940</v>
      </c>
      <c r="AG3" s="8" t="s">
        <v>1977</v>
      </c>
      <c r="AH3" s="8" t="s">
        <v>1978</v>
      </c>
      <c r="AK3" s="25" t="s">
        <v>890</v>
      </c>
      <c r="AL3" s="25" t="s">
        <v>891</v>
      </c>
      <c r="AM3" s="31"/>
      <c r="AN3" s="31"/>
      <c r="AO3"/>
      <c r="AP3"/>
      <c r="AQ3"/>
      <c r="AR3"/>
      <c r="AS3"/>
      <c r="AT3"/>
      <c r="AU3"/>
      <c r="AZ3"/>
      <c r="BB3"/>
      <c r="BC3"/>
      <c r="BO3"/>
      <c r="BS3"/>
    </row>
    <row r="4" spans="1:71">
      <c r="A4" s="30">
        <v>42930.63244212963</v>
      </c>
      <c r="B4" s="30">
        <v>42807.490277777775</v>
      </c>
      <c r="C4" t="s">
        <v>1967</v>
      </c>
      <c r="D4" t="s">
        <v>1965</v>
      </c>
      <c r="E4" s="8" t="s">
        <v>94</v>
      </c>
      <c r="F4" s="8" t="s">
        <v>94</v>
      </c>
      <c r="G4" t="s">
        <v>741</v>
      </c>
      <c r="H4" t="s">
        <v>2735</v>
      </c>
      <c r="I4" t="s">
        <v>901</v>
      </c>
      <c r="J4" t="s">
        <v>901</v>
      </c>
      <c r="K4" t="s">
        <v>948</v>
      </c>
      <c r="L4" t="s">
        <v>948</v>
      </c>
      <c r="M4" t="s">
        <v>1974</v>
      </c>
      <c r="N4" s="8" t="s">
        <v>170</v>
      </c>
      <c r="O4" s="8" t="s">
        <v>2709</v>
      </c>
      <c r="P4" s="21">
        <v>2017</v>
      </c>
      <c r="Q4" s="8" t="s">
        <v>2736</v>
      </c>
      <c r="R4" s="32">
        <v>250000</v>
      </c>
      <c r="S4" s="21">
        <f t="shared" si="0"/>
        <v>1</v>
      </c>
      <c r="T4" s="8" t="s">
        <v>96</v>
      </c>
      <c r="U4" s="8" t="s">
        <v>940</v>
      </c>
      <c r="V4" s="87" t="str">
        <f>HYPERLINK("https://www.ejacket.nsf.gov/ej/showProposal.do?ID="&amp;ckSplitsTable[[#This Row],[prop_id]],"eJ")</f>
        <v>eJ</v>
      </c>
      <c r="W4" s="8" t="s">
        <v>742</v>
      </c>
      <c r="X4" s="8" t="s">
        <v>940</v>
      </c>
      <c r="Y4" s="8" t="s">
        <v>941</v>
      </c>
      <c r="Z4" s="8" t="s">
        <v>1975</v>
      </c>
      <c r="AA4" s="8" t="s">
        <v>244</v>
      </c>
      <c r="AB4" s="87" t="str">
        <f>HYPERLINK("mailto:"&amp;ckSplitsTable[[#This Row],[email]]&amp;"&amp;subject=Your NSF Proposal:  "&amp;ckSplitsTable[[#This Row],[prop_id]],ckSplitsTable[[#This Row],[email]])</f>
        <v>sham@cs.washington.edu</v>
      </c>
      <c r="AC4" s="8" t="s">
        <v>1979</v>
      </c>
      <c r="AD4" s="8" t="s">
        <v>1968</v>
      </c>
      <c r="AE4" s="8" t="s">
        <v>1968</v>
      </c>
      <c r="AF4" s="8" t="s">
        <v>940</v>
      </c>
      <c r="AG4" s="8" t="s">
        <v>1977</v>
      </c>
      <c r="AH4" s="8" t="s">
        <v>1978</v>
      </c>
      <c r="AK4"/>
      <c r="AL4" s="89" t="s">
        <v>528</v>
      </c>
      <c r="AM4" s="31">
        <v>26214</v>
      </c>
      <c r="AN4" s="31">
        <v>26214</v>
      </c>
      <c r="AO4"/>
      <c r="AP4"/>
      <c r="AQ4"/>
      <c r="AR4"/>
      <c r="AS4"/>
      <c r="AT4"/>
      <c r="AU4"/>
      <c r="AZ4"/>
      <c r="BB4"/>
      <c r="BC4"/>
      <c r="BO4"/>
      <c r="BS4"/>
    </row>
    <row r="5" spans="1:71">
      <c r="A5" s="30">
        <v>42930.63244212963</v>
      </c>
      <c r="B5" s="30">
        <v>42807.490277777775</v>
      </c>
      <c r="C5" t="s">
        <v>1967</v>
      </c>
      <c r="D5" t="s">
        <v>1965</v>
      </c>
      <c r="E5" s="8" t="s">
        <v>94</v>
      </c>
      <c r="F5" s="8" t="s">
        <v>94</v>
      </c>
      <c r="G5" t="s">
        <v>741</v>
      </c>
      <c r="H5" t="s">
        <v>2737</v>
      </c>
      <c r="I5" t="s">
        <v>901</v>
      </c>
      <c r="J5" t="s">
        <v>2738</v>
      </c>
      <c r="K5" t="s">
        <v>948</v>
      </c>
      <c r="L5" t="s">
        <v>2739</v>
      </c>
      <c r="M5" t="s">
        <v>1974</v>
      </c>
      <c r="N5" s="8" t="s">
        <v>170</v>
      </c>
      <c r="O5" s="8" t="s">
        <v>2709</v>
      </c>
      <c r="P5" s="21">
        <v>2017</v>
      </c>
      <c r="Q5" s="8" t="s">
        <v>2740</v>
      </c>
      <c r="R5" s="32">
        <v>500000</v>
      </c>
      <c r="S5" s="21">
        <f t="shared" si="0"/>
        <v>1</v>
      </c>
      <c r="T5" s="8" t="s">
        <v>96</v>
      </c>
      <c r="U5" s="8" t="s">
        <v>940</v>
      </c>
      <c r="V5" s="87" t="str">
        <f>HYPERLINK("https://www.ejacket.nsf.gov/ej/showProposal.do?ID="&amp;ckSplitsTable[[#This Row],[prop_id]],"eJ")</f>
        <v>eJ</v>
      </c>
      <c r="W5" s="8" t="s">
        <v>742</v>
      </c>
      <c r="X5" s="8" t="s">
        <v>940</v>
      </c>
      <c r="Y5" s="8" t="s">
        <v>941</v>
      </c>
      <c r="Z5" s="8" t="s">
        <v>1975</v>
      </c>
      <c r="AA5" s="8" t="s">
        <v>244</v>
      </c>
      <c r="AB5" s="87" t="str">
        <f>HYPERLINK("mailto:"&amp;ckSplitsTable[[#This Row],[email]]&amp;"&amp;subject=Your NSF Proposal:  "&amp;ckSplitsTable[[#This Row],[prop_id]],ckSplitsTable[[#This Row],[email]])</f>
        <v>sham@cs.washington.edu</v>
      </c>
      <c r="AC5" s="8" t="s">
        <v>1979</v>
      </c>
      <c r="AD5" s="8" t="s">
        <v>1968</v>
      </c>
      <c r="AE5" s="8" t="s">
        <v>1968</v>
      </c>
      <c r="AF5" s="8" t="s">
        <v>940</v>
      </c>
      <c r="AG5" s="8" t="s">
        <v>1977</v>
      </c>
      <c r="AH5" s="8" t="s">
        <v>1978</v>
      </c>
      <c r="AK5" s="25" t="s">
        <v>448</v>
      </c>
      <c r="AL5"/>
      <c r="AM5" s="31">
        <v>26214</v>
      </c>
      <c r="AN5" s="31">
        <v>26214</v>
      </c>
      <c r="AO5"/>
      <c r="AP5"/>
      <c r="AQ5"/>
      <c r="AR5"/>
      <c r="AS5"/>
      <c r="AT5"/>
      <c r="AU5"/>
      <c r="AZ5"/>
      <c r="BB5"/>
      <c r="BC5"/>
      <c r="BO5"/>
      <c r="BS5"/>
    </row>
    <row r="6" spans="1:71">
      <c r="A6" s="30">
        <v>42933.40896990741</v>
      </c>
      <c r="B6" s="30">
        <v>42808.710416666669</v>
      </c>
      <c r="C6" t="s">
        <v>1967</v>
      </c>
      <c r="D6" t="s">
        <v>1965</v>
      </c>
      <c r="E6" s="8" t="s">
        <v>94</v>
      </c>
      <c r="F6" s="8" t="s">
        <v>94</v>
      </c>
      <c r="G6" t="s">
        <v>741</v>
      </c>
      <c r="H6" t="s">
        <v>741</v>
      </c>
      <c r="I6" t="s">
        <v>901</v>
      </c>
      <c r="J6" t="s">
        <v>901</v>
      </c>
      <c r="K6" t="s">
        <v>942</v>
      </c>
      <c r="L6" t="s">
        <v>942</v>
      </c>
      <c r="M6" t="s">
        <v>1974</v>
      </c>
      <c r="N6" s="8" t="s">
        <v>170</v>
      </c>
      <c r="O6" s="8" t="s">
        <v>2709</v>
      </c>
      <c r="P6" s="21">
        <v>2017</v>
      </c>
      <c r="Q6" s="8" t="s">
        <v>898</v>
      </c>
      <c r="R6" s="32">
        <v>299762</v>
      </c>
      <c r="S6" s="21">
        <f t="shared" si="0"/>
        <v>2</v>
      </c>
      <c r="T6" s="8" t="s">
        <v>96</v>
      </c>
      <c r="U6" s="8" t="s">
        <v>1052</v>
      </c>
      <c r="V6" s="87" t="str">
        <f>HYPERLINK("https://www.ejacket.nsf.gov/ej/showProposal.do?ID="&amp;ckSplitsTable[[#This Row],[prop_id]],"eJ")</f>
        <v>eJ</v>
      </c>
      <c r="W6" s="8" t="s">
        <v>742</v>
      </c>
      <c r="X6" s="8" t="s">
        <v>1052</v>
      </c>
      <c r="Y6" s="8" t="s">
        <v>1053</v>
      </c>
      <c r="Z6" s="8" t="s">
        <v>2061</v>
      </c>
      <c r="AA6" s="8" t="s">
        <v>247</v>
      </c>
      <c r="AB6" s="87" t="str">
        <f>HYPERLINK("mailto:"&amp;ckSplitsTable[[#This Row],[email]]&amp;"&amp;subject=Your NSF Proposal:  "&amp;ckSplitsTable[[#This Row],[prop_id]],ckSplitsTable[[#This Row],[email]])</f>
        <v>swright@cs.wisc.edu</v>
      </c>
      <c r="AC6" s="8" t="s">
        <v>2064</v>
      </c>
      <c r="AD6" s="8" t="s">
        <v>1968</v>
      </c>
      <c r="AE6" s="8" t="s">
        <v>2741</v>
      </c>
      <c r="AF6" s="8" t="s">
        <v>1052</v>
      </c>
      <c r="AG6" s="8" t="s">
        <v>1977</v>
      </c>
      <c r="AH6" s="8" t="s">
        <v>2063</v>
      </c>
      <c r="AK6"/>
      <c r="AL6"/>
      <c r="AM6"/>
      <c r="AN6"/>
      <c r="AO6"/>
      <c r="AP6"/>
      <c r="AQ6"/>
      <c r="AR6"/>
      <c r="AS6"/>
      <c r="AT6"/>
      <c r="AU6"/>
      <c r="AZ6"/>
      <c r="BB6"/>
      <c r="BC6"/>
      <c r="BO6"/>
      <c r="BS6"/>
    </row>
    <row r="7" spans="1:71">
      <c r="A7" s="30">
        <v>42933.40896990741</v>
      </c>
      <c r="B7" s="30">
        <v>42808.710416666669</v>
      </c>
      <c r="C7" t="s">
        <v>1967</v>
      </c>
      <c r="D7" t="s">
        <v>1965</v>
      </c>
      <c r="E7" s="8" t="s">
        <v>94</v>
      </c>
      <c r="F7" s="8" t="s">
        <v>94</v>
      </c>
      <c r="G7" t="s">
        <v>741</v>
      </c>
      <c r="H7" t="s">
        <v>2735</v>
      </c>
      <c r="I7" t="s">
        <v>901</v>
      </c>
      <c r="J7" t="s">
        <v>901</v>
      </c>
      <c r="K7" t="s">
        <v>942</v>
      </c>
      <c r="L7" t="s">
        <v>942</v>
      </c>
      <c r="M7" t="s">
        <v>1974</v>
      </c>
      <c r="N7" s="8" t="s">
        <v>170</v>
      </c>
      <c r="O7" s="8" t="s">
        <v>2709</v>
      </c>
      <c r="P7" s="21">
        <v>2017</v>
      </c>
      <c r="Q7" s="8" t="s">
        <v>517</v>
      </c>
      <c r="R7" s="32">
        <v>299761</v>
      </c>
      <c r="S7" s="21">
        <f t="shared" si="0"/>
        <v>2</v>
      </c>
      <c r="T7" s="8" t="s">
        <v>96</v>
      </c>
      <c r="U7" s="8" t="s">
        <v>1052</v>
      </c>
      <c r="V7" s="87" t="str">
        <f>HYPERLINK("https://www.ejacket.nsf.gov/ej/showProposal.do?ID="&amp;ckSplitsTable[[#This Row],[prop_id]],"eJ")</f>
        <v>eJ</v>
      </c>
      <c r="W7" s="8" t="s">
        <v>742</v>
      </c>
      <c r="X7" s="8" t="s">
        <v>1052</v>
      </c>
      <c r="Y7" s="8" t="s">
        <v>1053</v>
      </c>
      <c r="Z7" s="8" t="s">
        <v>2061</v>
      </c>
      <c r="AA7" s="8" t="s">
        <v>247</v>
      </c>
      <c r="AB7" s="87" t="str">
        <f>HYPERLINK("mailto:"&amp;ckSplitsTable[[#This Row],[email]]&amp;"&amp;subject=Your NSF Proposal:  "&amp;ckSplitsTable[[#This Row],[prop_id]],ckSplitsTable[[#This Row],[email]])</f>
        <v>swright@cs.wisc.edu</v>
      </c>
      <c r="AC7" s="8" t="s">
        <v>2064</v>
      </c>
      <c r="AD7" s="8" t="s">
        <v>1968</v>
      </c>
      <c r="AE7" s="8" t="s">
        <v>2741</v>
      </c>
      <c r="AF7" s="8" t="s">
        <v>1052</v>
      </c>
      <c r="AG7" s="8" t="s">
        <v>1977</v>
      </c>
      <c r="AH7" s="8" t="s">
        <v>2063</v>
      </c>
      <c r="AK7"/>
      <c r="AL7"/>
      <c r="AM7"/>
      <c r="AN7"/>
      <c r="AO7"/>
      <c r="AP7"/>
      <c r="AQ7"/>
      <c r="AR7"/>
      <c r="AS7"/>
      <c r="AT7"/>
      <c r="AU7"/>
      <c r="AZ7"/>
      <c r="BB7"/>
      <c r="BC7"/>
      <c r="BO7"/>
      <c r="BS7"/>
    </row>
    <row r="8" spans="1:71">
      <c r="A8" s="30">
        <v>42933.40896990741</v>
      </c>
      <c r="B8" s="30">
        <v>42808.710416666669</v>
      </c>
      <c r="C8" t="s">
        <v>1967</v>
      </c>
      <c r="D8" t="s">
        <v>1965</v>
      </c>
      <c r="E8" s="8" t="s">
        <v>94</v>
      </c>
      <c r="F8" s="8" t="s">
        <v>94</v>
      </c>
      <c r="G8" t="s">
        <v>741</v>
      </c>
      <c r="H8" t="s">
        <v>2737</v>
      </c>
      <c r="I8" t="s">
        <v>901</v>
      </c>
      <c r="J8" t="s">
        <v>2738</v>
      </c>
      <c r="K8" t="s">
        <v>942</v>
      </c>
      <c r="L8" t="s">
        <v>2739</v>
      </c>
      <c r="M8" t="s">
        <v>1974</v>
      </c>
      <c r="N8" s="8" t="s">
        <v>170</v>
      </c>
      <c r="O8" s="8" t="s">
        <v>2709</v>
      </c>
      <c r="P8" s="21">
        <v>2017</v>
      </c>
      <c r="Q8" s="8" t="s">
        <v>2736</v>
      </c>
      <c r="R8" s="32">
        <v>500000</v>
      </c>
      <c r="S8" s="21">
        <f t="shared" si="0"/>
        <v>2</v>
      </c>
      <c r="T8" s="8" t="s">
        <v>96</v>
      </c>
      <c r="U8" s="8" t="s">
        <v>1052</v>
      </c>
      <c r="V8" s="87" t="str">
        <f>HYPERLINK("https://www.ejacket.nsf.gov/ej/showProposal.do?ID="&amp;ckSplitsTable[[#This Row],[prop_id]],"eJ")</f>
        <v>eJ</v>
      </c>
      <c r="W8" s="8" t="s">
        <v>742</v>
      </c>
      <c r="X8" s="8" t="s">
        <v>1052</v>
      </c>
      <c r="Y8" s="8" t="s">
        <v>1053</v>
      </c>
      <c r="Z8" s="8" t="s">
        <v>2061</v>
      </c>
      <c r="AA8" s="8" t="s">
        <v>247</v>
      </c>
      <c r="AB8" s="87" t="str">
        <f>HYPERLINK("mailto:"&amp;ckSplitsTable[[#This Row],[email]]&amp;"&amp;subject=Your NSF Proposal:  "&amp;ckSplitsTable[[#This Row],[prop_id]],ckSplitsTable[[#This Row],[email]])</f>
        <v>swright@cs.wisc.edu</v>
      </c>
      <c r="AC8" s="8" t="s">
        <v>2064</v>
      </c>
      <c r="AD8" s="8" t="s">
        <v>1968</v>
      </c>
      <c r="AE8" s="8" t="s">
        <v>2741</v>
      </c>
      <c r="AF8" s="8" t="s">
        <v>1052</v>
      </c>
      <c r="AG8" s="8" t="s">
        <v>1977</v>
      </c>
      <c r="AH8" s="8" t="s">
        <v>2063</v>
      </c>
      <c r="AK8"/>
      <c r="AL8"/>
      <c r="AM8"/>
      <c r="AN8"/>
      <c r="AO8"/>
      <c r="AP8"/>
      <c r="AQ8"/>
      <c r="AR8"/>
      <c r="AS8"/>
      <c r="AT8"/>
      <c r="AU8"/>
      <c r="AZ8"/>
      <c r="BB8"/>
      <c r="BC8"/>
      <c r="BO8"/>
      <c r="BS8"/>
    </row>
    <row r="9" spans="1:71">
      <c r="A9" s="30">
        <v>42933.40896990741</v>
      </c>
      <c r="B9" s="30">
        <v>42808.710416666669</v>
      </c>
      <c r="C9" t="s">
        <v>1967</v>
      </c>
      <c r="D9" t="s">
        <v>1965</v>
      </c>
      <c r="E9" s="8" t="s">
        <v>94</v>
      </c>
      <c r="F9" s="8" t="s">
        <v>94</v>
      </c>
      <c r="G9" t="s">
        <v>741</v>
      </c>
      <c r="H9" t="s">
        <v>2742</v>
      </c>
      <c r="I9" t="s">
        <v>901</v>
      </c>
      <c r="J9" t="s">
        <v>2743</v>
      </c>
      <c r="K9" t="s">
        <v>942</v>
      </c>
      <c r="L9" t="s">
        <v>2744</v>
      </c>
      <c r="M9" t="s">
        <v>1974</v>
      </c>
      <c r="N9" s="8" t="s">
        <v>170</v>
      </c>
      <c r="O9" s="8" t="s">
        <v>2709</v>
      </c>
      <c r="P9" s="21">
        <v>2017</v>
      </c>
      <c r="Q9" s="8" t="s">
        <v>2740</v>
      </c>
      <c r="R9" s="32">
        <v>400000</v>
      </c>
      <c r="S9" s="21">
        <f t="shared" si="0"/>
        <v>2</v>
      </c>
      <c r="T9" s="8" t="s">
        <v>96</v>
      </c>
      <c r="U9" s="8" t="s">
        <v>1052</v>
      </c>
      <c r="V9" s="87" t="str">
        <f>HYPERLINK("https://www.ejacket.nsf.gov/ej/showProposal.do?ID="&amp;ckSplitsTable[[#This Row],[prop_id]],"eJ")</f>
        <v>eJ</v>
      </c>
      <c r="W9" s="8" t="s">
        <v>742</v>
      </c>
      <c r="X9" s="8" t="s">
        <v>1052</v>
      </c>
      <c r="Y9" s="8" t="s">
        <v>1053</v>
      </c>
      <c r="Z9" s="8" t="s">
        <v>2061</v>
      </c>
      <c r="AA9" s="8" t="s">
        <v>247</v>
      </c>
      <c r="AB9" s="87" t="str">
        <f>HYPERLINK("mailto:"&amp;ckSplitsTable[[#This Row],[email]]&amp;"&amp;subject=Your NSF Proposal:  "&amp;ckSplitsTable[[#This Row],[prop_id]],ckSplitsTable[[#This Row],[email]])</f>
        <v>swright@cs.wisc.edu</v>
      </c>
      <c r="AC9" s="8" t="s">
        <v>2064</v>
      </c>
      <c r="AD9" s="8" t="s">
        <v>1968</v>
      </c>
      <c r="AE9" s="8" t="s">
        <v>2741</v>
      </c>
      <c r="AF9" s="8" t="s">
        <v>1052</v>
      </c>
      <c r="AG9" s="8" t="s">
        <v>1977</v>
      </c>
      <c r="AH9" s="8" t="s">
        <v>2063</v>
      </c>
      <c r="AK9"/>
      <c r="AL9"/>
      <c r="AM9"/>
      <c r="AN9"/>
      <c r="AO9"/>
      <c r="AP9"/>
      <c r="AQ9"/>
      <c r="AR9"/>
      <c r="AS9"/>
      <c r="AT9"/>
      <c r="AU9"/>
      <c r="AZ9"/>
      <c r="BB9"/>
      <c r="BC9"/>
      <c r="BO9"/>
      <c r="BS9"/>
    </row>
    <row r="10" spans="1:71">
      <c r="A10" s="30">
        <v>42933.475868055553</v>
      </c>
      <c r="B10" s="30">
        <v>42809.474999999999</v>
      </c>
      <c r="C10" t="s">
        <v>1967</v>
      </c>
      <c r="D10" t="s">
        <v>1965</v>
      </c>
      <c r="E10" s="8" t="s">
        <v>94</v>
      </c>
      <c r="F10" s="8" t="s">
        <v>94</v>
      </c>
      <c r="G10" t="s">
        <v>741</v>
      </c>
      <c r="H10" t="s">
        <v>2742</v>
      </c>
      <c r="I10" t="s">
        <v>901</v>
      </c>
      <c r="J10" t="s">
        <v>2743</v>
      </c>
      <c r="K10" t="s">
        <v>540</v>
      </c>
      <c r="L10" t="s">
        <v>2744</v>
      </c>
      <c r="M10" t="s">
        <v>1974</v>
      </c>
      <c r="N10" s="8" t="s">
        <v>170</v>
      </c>
      <c r="O10" s="8" t="s">
        <v>2709</v>
      </c>
      <c r="P10" s="21">
        <v>2017</v>
      </c>
      <c r="Q10" s="8" t="s">
        <v>898</v>
      </c>
      <c r="R10" s="32">
        <v>300000</v>
      </c>
      <c r="S10" s="21">
        <f t="shared" si="0"/>
        <v>3</v>
      </c>
      <c r="T10" s="8" t="s">
        <v>96</v>
      </c>
      <c r="U10" s="8" t="s">
        <v>1094</v>
      </c>
      <c r="V10" s="87" t="str">
        <f>HYPERLINK("https://www.ejacket.nsf.gov/ej/showProposal.do?ID="&amp;ckSplitsTable[[#This Row],[prop_id]],"eJ")</f>
        <v>eJ</v>
      </c>
      <c r="W10" s="8" t="s">
        <v>742</v>
      </c>
      <c r="X10" s="8" t="s">
        <v>1094</v>
      </c>
      <c r="Y10" s="8" t="s">
        <v>1095</v>
      </c>
      <c r="Z10" s="8" t="s">
        <v>2086</v>
      </c>
      <c r="AA10" s="8" t="s">
        <v>2087</v>
      </c>
      <c r="AB10" s="87" t="str">
        <f>HYPERLINK("mailto:"&amp;ckSplitsTable[[#This Row],[email]]&amp;"&amp;subject=Your NSF Proposal:  "&amp;ckSplitsTable[[#This Row],[prop_id]],ckSplitsTable[[#This Row],[email]])</f>
        <v>Jeff_Brock@brown.edu</v>
      </c>
      <c r="AC10" s="8" t="s">
        <v>2089</v>
      </c>
      <c r="AD10" s="8" t="s">
        <v>2085</v>
      </c>
      <c r="AE10" s="8" t="s">
        <v>2085</v>
      </c>
      <c r="AF10" s="8" t="s">
        <v>1094</v>
      </c>
      <c r="AG10" s="8" t="s">
        <v>1977</v>
      </c>
      <c r="AH10" s="8" t="s">
        <v>2088</v>
      </c>
    </row>
    <row r="11" spans="1:71">
      <c r="A11" s="30">
        <v>42933.475868055553</v>
      </c>
      <c r="B11" s="30">
        <v>42809.474999999999</v>
      </c>
      <c r="C11" t="s">
        <v>1967</v>
      </c>
      <c r="D11" t="s">
        <v>1965</v>
      </c>
      <c r="E11" s="8" t="s">
        <v>94</v>
      </c>
      <c r="F11" s="8" t="s">
        <v>94</v>
      </c>
      <c r="G11" t="s">
        <v>741</v>
      </c>
      <c r="H11" t="s">
        <v>741</v>
      </c>
      <c r="I11" t="s">
        <v>901</v>
      </c>
      <c r="J11" t="s">
        <v>901</v>
      </c>
      <c r="K11" t="s">
        <v>540</v>
      </c>
      <c r="L11" t="s">
        <v>540</v>
      </c>
      <c r="M11" t="s">
        <v>1974</v>
      </c>
      <c r="N11" s="8" t="s">
        <v>170</v>
      </c>
      <c r="O11" s="8" t="s">
        <v>2709</v>
      </c>
      <c r="P11" s="21">
        <v>2017</v>
      </c>
      <c r="Q11" s="8" t="s">
        <v>517</v>
      </c>
      <c r="R11" s="32">
        <v>441088</v>
      </c>
      <c r="S11" s="21">
        <f t="shared" si="0"/>
        <v>3</v>
      </c>
      <c r="T11" s="8" t="s">
        <v>96</v>
      </c>
      <c r="U11" s="8" t="s">
        <v>1094</v>
      </c>
      <c r="V11" s="87" t="str">
        <f>HYPERLINK("https://www.ejacket.nsf.gov/ej/showProposal.do?ID="&amp;ckSplitsTable[[#This Row],[prop_id]],"eJ")</f>
        <v>eJ</v>
      </c>
      <c r="W11" s="8" t="s">
        <v>742</v>
      </c>
      <c r="X11" s="8" t="s">
        <v>1094</v>
      </c>
      <c r="Y11" s="8" t="s">
        <v>1095</v>
      </c>
      <c r="Z11" s="8" t="s">
        <v>2086</v>
      </c>
      <c r="AA11" s="8" t="s">
        <v>2087</v>
      </c>
      <c r="AB11" s="87" t="str">
        <f>HYPERLINK("mailto:"&amp;ckSplitsTable[[#This Row],[email]]&amp;"&amp;subject=Your NSF Proposal:  "&amp;ckSplitsTable[[#This Row],[prop_id]],ckSplitsTable[[#This Row],[email]])</f>
        <v>Jeff_Brock@brown.edu</v>
      </c>
      <c r="AC11" s="8" t="s">
        <v>2089</v>
      </c>
      <c r="AD11" s="8" t="s">
        <v>2085</v>
      </c>
      <c r="AE11" s="8" t="s">
        <v>2085</v>
      </c>
      <c r="AF11" s="8" t="s">
        <v>1094</v>
      </c>
      <c r="AG11" s="8" t="s">
        <v>1977</v>
      </c>
      <c r="AH11" s="8" t="s">
        <v>2088</v>
      </c>
    </row>
    <row r="12" spans="1:71">
      <c r="A12" s="30">
        <v>42933.475868055553</v>
      </c>
      <c r="B12" s="30">
        <v>42809.474999999999</v>
      </c>
      <c r="C12" t="s">
        <v>1967</v>
      </c>
      <c r="D12" t="s">
        <v>1965</v>
      </c>
      <c r="E12" s="8" t="s">
        <v>94</v>
      </c>
      <c r="F12" s="8" t="s">
        <v>94</v>
      </c>
      <c r="G12" t="s">
        <v>741</v>
      </c>
      <c r="H12" t="s">
        <v>2735</v>
      </c>
      <c r="I12" t="s">
        <v>901</v>
      </c>
      <c r="J12" t="s">
        <v>901</v>
      </c>
      <c r="K12" t="s">
        <v>540</v>
      </c>
      <c r="L12" t="s">
        <v>942</v>
      </c>
      <c r="M12" t="s">
        <v>1974</v>
      </c>
      <c r="N12" s="8" t="s">
        <v>170</v>
      </c>
      <c r="O12" s="8" t="s">
        <v>2709</v>
      </c>
      <c r="P12" s="21">
        <v>2017</v>
      </c>
      <c r="Q12" s="8" t="s">
        <v>2736</v>
      </c>
      <c r="R12" s="32">
        <v>441089</v>
      </c>
      <c r="S12" s="21">
        <f t="shared" si="0"/>
        <v>3</v>
      </c>
      <c r="T12" s="8" t="s">
        <v>96</v>
      </c>
      <c r="U12" s="8" t="s">
        <v>1094</v>
      </c>
      <c r="V12" s="87" t="str">
        <f>HYPERLINK("https://www.ejacket.nsf.gov/ej/showProposal.do?ID="&amp;ckSplitsTable[[#This Row],[prop_id]],"eJ")</f>
        <v>eJ</v>
      </c>
      <c r="W12" s="8" t="s">
        <v>742</v>
      </c>
      <c r="X12" s="8" t="s">
        <v>1094</v>
      </c>
      <c r="Y12" s="8" t="s">
        <v>1095</v>
      </c>
      <c r="Z12" s="8" t="s">
        <v>2086</v>
      </c>
      <c r="AA12" s="8" t="s">
        <v>2087</v>
      </c>
      <c r="AB12" s="87" t="str">
        <f>HYPERLINK("mailto:"&amp;ckSplitsTable[[#This Row],[email]]&amp;"&amp;subject=Your NSF Proposal:  "&amp;ckSplitsTable[[#This Row],[prop_id]],ckSplitsTable[[#This Row],[email]])</f>
        <v>Jeff_Brock@brown.edu</v>
      </c>
      <c r="AC12" s="8" t="s">
        <v>2089</v>
      </c>
      <c r="AD12" s="8" t="s">
        <v>2085</v>
      </c>
      <c r="AE12" s="8" t="s">
        <v>2085</v>
      </c>
      <c r="AF12" s="8" t="s">
        <v>1094</v>
      </c>
      <c r="AG12" s="8" t="s">
        <v>1977</v>
      </c>
      <c r="AH12" s="8" t="s">
        <v>2088</v>
      </c>
    </row>
    <row r="13" spans="1:71">
      <c r="A13" s="30">
        <v>42933.475868055553</v>
      </c>
      <c r="B13" s="30">
        <v>42809.474999999999</v>
      </c>
      <c r="C13" t="s">
        <v>1967</v>
      </c>
      <c r="D13" t="s">
        <v>1965</v>
      </c>
      <c r="E13" s="8" t="s">
        <v>94</v>
      </c>
      <c r="F13" s="8" t="s">
        <v>94</v>
      </c>
      <c r="G13" t="s">
        <v>741</v>
      </c>
      <c r="H13" t="s">
        <v>2745</v>
      </c>
      <c r="I13" t="s">
        <v>901</v>
      </c>
      <c r="J13" t="s">
        <v>315</v>
      </c>
      <c r="K13" t="s">
        <v>540</v>
      </c>
      <c r="L13" t="s">
        <v>2746</v>
      </c>
      <c r="M13" t="s">
        <v>1974</v>
      </c>
      <c r="N13" s="8" t="s">
        <v>170</v>
      </c>
      <c r="O13" s="8" t="s">
        <v>2709</v>
      </c>
      <c r="P13" s="21">
        <v>2017</v>
      </c>
      <c r="Q13" s="8" t="s">
        <v>2740</v>
      </c>
      <c r="R13" s="32">
        <v>300000</v>
      </c>
      <c r="S13" s="21">
        <f t="shared" si="0"/>
        <v>3</v>
      </c>
      <c r="T13" s="8" t="s">
        <v>96</v>
      </c>
      <c r="U13" s="8" t="s">
        <v>1094</v>
      </c>
      <c r="V13" s="87" t="str">
        <f>HYPERLINK("https://www.ejacket.nsf.gov/ej/showProposal.do?ID="&amp;ckSplitsTable[[#This Row],[prop_id]],"eJ")</f>
        <v>eJ</v>
      </c>
      <c r="W13" s="8" t="s">
        <v>742</v>
      </c>
      <c r="X13" s="8" t="s">
        <v>1094</v>
      </c>
      <c r="Y13" s="8" t="s">
        <v>1095</v>
      </c>
      <c r="Z13" s="8" t="s">
        <v>2086</v>
      </c>
      <c r="AA13" s="8" t="s">
        <v>2087</v>
      </c>
      <c r="AB13" s="87" t="str">
        <f>HYPERLINK("mailto:"&amp;ckSplitsTable[[#This Row],[email]]&amp;"&amp;subject=Your NSF Proposal:  "&amp;ckSplitsTable[[#This Row],[prop_id]],ckSplitsTable[[#This Row],[email]])</f>
        <v>Jeff_Brock@brown.edu</v>
      </c>
      <c r="AC13" s="8" t="s">
        <v>2089</v>
      </c>
      <c r="AD13" s="8" t="s">
        <v>2085</v>
      </c>
      <c r="AE13" s="8" t="s">
        <v>2085</v>
      </c>
      <c r="AF13" s="8" t="s">
        <v>1094</v>
      </c>
      <c r="AG13" s="8" t="s">
        <v>1977</v>
      </c>
      <c r="AH13" s="8" t="s">
        <v>2088</v>
      </c>
    </row>
    <row r="14" spans="1:71">
      <c r="A14" s="30">
        <v>42934.517997685187</v>
      </c>
      <c r="B14" s="30">
        <v>42809.505555555559</v>
      </c>
      <c r="C14" t="s">
        <v>1967</v>
      </c>
      <c r="D14" t="s">
        <v>1965</v>
      </c>
      <c r="E14" s="8" t="s">
        <v>94</v>
      </c>
      <c r="F14" s="8" t="s">
        <v>94</v>
      </c>
      <c r="G14" t="s">
        <v>741</v>
      </c>
      <c r="H14" t="s">
        <v>741</v>
      </c>
      <c r="I14" t="s">
        <v>901</v>
      </c>
      <c r="J14" t="s">
        <v>901</v>
      </c>
      <c r="K14" t="s">
        <v>543</v>
      </c>
      <c r="L14" t="s">
        <v>543</v>
      </c>
      <c r="M14" t="s">
        <v>1974</v>
      </c>
      <c r="N14" s="8" t="s">
        <v>170</v>
      </c>
      <c r="O14" s="8" t="s">
        <v>897</v>
      </c>
      <c r="P14" s="21">
        <v>2017</v>
      </c>
      <c r="Q14" s="8" t="s">
        <v>898</v>
      </c>
      <c r="R14" s="32">
        <v>184250</v>
      </c>
      <c r="S14" s="21">
        <f t="shared" si="0"/>
        <v>4</v>
      </c>
      <c r="T14" s="8" t="s">
        <v>96</v>
      </c>
      <c r="U14" s="8" t="s">
        <v>1119</v>
      </c>
      <c r="V14" s="87" t="str">
        <f>HYPERLINK("https://www.ejacket.nsf.gov/ej/showProposal.do?ID="&amp;ckSplitsTable[[#This Row],[prop_id]],"eJ")</f>
        <v>eJ</v>
      </c>
      <c r="W14" s="8" t="s">
        <v>742</v>
      </c>
      <c r="X14" s="8" t="s">
        <v>1119</v>
      </c>
      <c r="Y14" s="8" t="s">
        <v>1120</v>
      </c>
      <c r="Z14" s="8" t="s">
        <v>2103</v>
      </c>
      <c r="AA14" s="8" t="s">
        <v>775</v>
      </c>
      <c r="AB14" s="87" t="str">
        <f>HYPERLINK("mailto:"&amp;ckSplitsTable[[#This Row],[email]]&amp;"&amp;subject=Your NSF Proposal:  "&amp;ckSplitsTable[[#This Row],[prop_id]],ckSplitsTable[[#This Row],[email]])</f>
        <v>indyk@mit.edu</v>
      </c>
      <c r="AC14" s="8" t="s">
        <v>2106</v>
      </c>
      <c r="AD14" s="8" t="s">
        <v>1968</v>
      </c>
      <c r="AE14" s="8" t="s">
        <v>1968</v>
      </c>
      <c r="AF14" s="8" t="s">
        <v>1119</v>
      </c>
      <c r="AG14" s="8" t="s">
        <v>1977</v>
      </c>
      <c r="AH14" s="8" t="s">
        <v>2105</v>
      </c>
    </row>
    <row r="15" spans="1:71">
      <c r="A15" s="30">
        <v>42934.517997685187</v>
      </c>
      <c r="B15" s="30">
        <v>42809.505555555559</v>
      </c>
      <c r="C15" t="s">
        <v>1967</v>
      </c>
      <c r="D15" t="s">
        <v>1965</v>
      </c>
      <c r="E15" s="8" t="s">
        <v>94</v>
      </c>
      <c r="F15" s="8" t="s">
        <v>94</v>
      </c>
      <c r="G15" t="s">
        <v>741</v>
      </c>
      <c r="H15" t="s">
        <v>2735</v>
      </c>
      <c r="I15" t="s">
        <v>901</v>
      </c>
      <c r="J15" t="s">
        <v>901</v>
      </c>
      <c r="K15" t="s">
        <v>543</v>
      </c>
      <c r="L15" t="s">
        <v>942</v>
      </c>
      <c r="M15" t="s">
        <v>1974</v>
      </c>
      <c r="N15" s="8" t="s">
        <v>170</v>
      </c>
      <c r="O15" s="8" t="s">
        <v>897</v>
      </c>
      <c r="P15" s="21">
        <v>2017</v>
      </c>
      <c r="Q15" s="8" t="s">
        <v>517</v>
      </c>
      <c r="R15" s="32">
        <v>184250</v>
      </c>
      <c r="S15" s="21">
        <f t="shared" si="0"/>
        <v>4</v>
      </c>
      <c r="T15" s="8" t="s">
        <v>96</v>
      </c>
      <c r="U15" s="8" t="s">
        <v>1119</v>
      </c>
      <c r="V15" s="87" t="str">
        <f>HYPERLINK("https://www.ejacket.nsf.gov/ej/showProposal.do?ID="&amp;ckSplitsTable[[#This Row],[prop_id]],"eJ")</f>
        <v>eJ</v>
      </c>
      <c r="W15" s="8" t="s">
        <v>742</v>
      </c>
      <c r="X15" s="8" t="s">
        <v>1119</v>
      </c>
      <c r="Y15" s="8" t="s">
        <v>1120</v>
      </c>
      <c r="Z15" s="8" t="s">
        <v>2103</v>
      </c>
      <c r="AA15" s="8" t="s">
        <v>775</v>
      </c>
      <c r="AB15" s="87" t="str">
        <f>HYPERLINK("mailto:"&amp;ckSplitsTable[[#This Row],[email]]&amp;"&amp;subject=Your NSF Proposal:  "&amp;ckSplitsTable[[#This Row],[prop_id]],ckSplitsTable[[#This Row],[email]])</f>
        <v>indyk@mit.edu</v>
      </c>
      <c r="AC15" s="8" t="s">
        <v>2106</v>
      </c>
      <c r="AD15" s="8" t="s">
        <v>1968</v>
      </c>
      <c r="AE15" s="8" t="s">
        <v>1968</v>
      </c>
      <c r="AF15" s="8" t="s">
        <v>1119</v>
      </c>
      <c r="AG15" s="8" t="s">
        <v>1977</v>
      </c>
      <c r="AH15" s="8" t="s">
        <v>2105</v>
      </c>
    </row>
    <row r="16" spans="1:71">
      <c r="A16" s="30">
        <v>42934.517997685187</v>
      </c>
      <c r="B16" s="30">
        <v>42809.505555555559</v>
      </c>
      <c r="C16" t="s">
        <v>1967</v>
      </c>
      <c r="D16" t="s">
        <v>1965</v>
      </c>
      <c r="E16" s="8" t="s">
        <v>94</v>
      </c>
      <c r="F16" s="8" t="s">
        <v>94</v>
      </c>
      <c r="G16" t="s">
        <v>741</v>
      </c>
      <c r="H16" t="s">
        <v>741</v>
      </c>
      <c r="I16" t="s">
        <v>901</v>
      </c>
      <c r="J16" t="s">
        <v>901</v>
      </c>
      <c r="K16" t="s">
        <v>543</v>
      </c>
      <c r="L16" t="s">
        <v>543</v>
      </c>
      <c r="M16" t="s">
        <v>1974</v>
      </c>
      <c r="N16" s="8" t="s">
        <v>170</v>
      </c>
      <c r="O16" s="8" t="s">
        <v>897</v>
      </c>
      <c r="P16" s="21">
        <v>2018</v>
      </c>
      <c r="Q16" s="8" t="s">
        <v>898</v>
      </c>
      <c r="R16" s="32">
        <v>250000</v>
      </c>
      <c r="S16" s="21">
        <f t="shared" si="0"/>
        <v>4</v>
      </c>
      <c r="T16" s="8" t="s">
        <v>96</v>
      </c>
      <c r="U16" s="8" t="s">
        <v>1119</v>
      </c>
      <c r="V16" s="87" t="str">
        <f>HYPERLINK("https://www.ejacket.nsf.gov/ej/showProposal.do?ID="&amp;ckSplitsTable[[#This Row],[prop_id]],"eJ")</f>
        <v>eJ</v>
      </c>
      <c r="W16" s="8" t="s">
        <v>742</v>
      </c>
      <c r="X16" s="8" t="s">
        <v>1119</v>
      </c>
      <c r="Y16" s="8" t="s">
        <v>1120</v>
      </c>
      <c r="Z16" s="8" t="s">
        <v>2103</v>
      </c>
      <c r="AA16" s="8" t="s">
        <v>775</v>
      </c>
      <c r="AB16" s="87" t="str">
        <f>HYPERLINK("mailto:"&amp;ckSplitsTable[[#This Row],[email]]&amp;"&amp;subject=Your NSF Proposal:  "&amp;ckSplitsTable[[#This Row],[prop_id]],ckSplitsTable[[#This Row],[email]])</f>
        <v>indyk@mit.edu</v>
      </c>
      <c r="AC16" s="8" t="s">
        <v>2106</v>
      </c>
      <c r="AD16" s="8" t="s">
        <v>1968</v>
      </c>
      <c r="AE16" s="8" t="s">
        <v>1968</v>
      </c>
      <c r="AF16" s="8" t="s">
        <v>1119</v>
      </c>
      <c r="AG16" s="8" t="s">
        <v>1977</v>
      </c>
      <c r="AH16" s="8" t="s">
        <v>2105</v>
      </c>
    </row>
    <row r="17" spans="1:34">
      <c r="A17" s="30">
        <v>42934.517997685187</v>
      </c>
      <c r="B17" s="30">
        <v>42809.505555555559</v>
      </c>
      <c r="C17" t="s">
        <v>1967</v>
      </c>
      <c r="D17" t="s">
        <v>1965</v>
      </c>
      <c r="E17" s="8" t="s">
        <v>94</v>
      </c>
      <c r="F17" s="8" t="s">
        <v>94</v>
      </c>
      <c r="G17" t="s">
        <v>741</v>
      </c>
      <c r="H17" t="s">
        <v>2735</v>
      </c>
      <c r="I17" t="s">
        <v>901</v>
      </c>
      <c r="J17" t="s">
        <v>901</v>
      </c>
      <c r="K17" t="s">
        <v>543</v>
      </c>
      <c r="L17" t="s">
        <v>942</v>
      </c>
      <c r="M17" t="s">
        <v>1974</v>
      </c>
      <c r="N17" s="8" t="s">
        <v>170</v>
      </c>
      <c r="O17" s="8" t="s">
        <v>897</v>
      </c>
      <c r="P17" s="21">
        <v>2018</v>
      </c>
      <c r="Q17" s="8" t="s">
        <v>517</v>
      </c>
      <c r="R17" s="32">
        <v>250000</v>
      </c>
      <c r="S17" s="21">
        <f t="shared" si="0"/>
        <v>4</v>
      </c>
      <c r="T17" s="8" t="s">
        <v>96</v>
      </c>
      <c r="U17" s="8" t="s">
        <v>1119</v>
      </c>
      <c r="V17" s="87" t="str">
        <f>HYPERLINK("https://www.ejacket.nsf.gov/ej/showProposal.do?ID="&amp;ckSplitsTable[[#This Row],[prop_id]],"eJ")</f>
        <v>eJ</v>
      </c>
      <c r="W17" s="8" t="s">
        <v>742</v>
      </c>
      <c r="X17" s="8" t="s">
        <v>1119</v>
      </c>
      <c r="Y17" s="8" t="s">
        <v>1120</v>
      </c>
      <c r="Z17" s="8" t="s">
        <v>2103</v>
      </c>
      <c r="AA17" s="8" t="s">
        <v>775</v>
      </c>
      <c r="AB17" s="87" t="str">
        <f>HYPERLINK("mailto:"&amp;ckSplitsTable[[#This Row],[email]]&amp;"&amp;subject=Your NSF Proposal:  "&amp;ckSplitsTable[[#This Row],[prop_id]],ckSplitsTable[[#This Row],[email]])</f>
        <v>indyk@mit.edu</v>
      </c>
      <c r="AC17" s="8" t="s">
        <v>2106</v>
      </c>
      <c r="AD17" s="8" t="s">
        <v>1968</v>
      </c>
      <c r="AE17" s="8" t="s">
        <v>1968</v>
      </c>
      <c r="AF17" s="8" t="s">
        <v>1119</v>
      </c>
      <c r="AG17" s="8" t="s">
        <v>1977</v>
      </c>
      <c r="AH17" s="8" t="s">
        <v>2105</v>
      </c>
    </row>
    <row r="18" spans="1:34">
      <c r="A18" s="30">
        <v>42934.517997685187</v>
      </c>
      <c r="B18" s="30">
        <v>42809.505555555559</v>
      </c>
      <c r="C18" t="s">
        <v>1967</v>
      </c>
      <c r="D18" t="s">
        <v>1965</v>
      </c>
      <c r="E18" s="8" t="s">
        <v>94</v>
      </c>
      <c r="F18" s="8" t="s">
        <v>94</v>
      </c>
      <c r="G18" t="s">
        <v>741</v>
      </c>
      <c r="H18" t="s">
        <v>741</v>
      </c>
      <c r="I18" t="s">
        <v>901</v>
      </c>
      <c r="J18" t="s">
        <v>901</v>
      </c>
      <c r="K18" t="s">
        <v>543</v>
      </c>
      <c r="L18" t="s">
        <v>543</v>
      </c>
      <c r="M18" t="s">
        <v>1974</v>
      </c>
      <c r="N18" s="8" t="s">
        <v>170</v>
      </c>
      <c r="O18" s="8" t="s">
        <v>897</v>
      </c>
      <c r="P18" s="21">
        <v>2019</v>
      </c>
      <c r="Q18" s="8" t="s">
        <v>898</v>
      </c>
      <c r="R18" s="32">
        <v>250000</v>
      </c>
      <c r="S18" s="21">
        <f t="shared" si="0"/>
        <v>4</v>
      </c>
      <c r="T18" s="8" t="s">
        <v>96</v>
      </c>
      <c r="U18" s="8" t="s">
        <v>1119</v>
      </c>
      <c r="V18" s="87" t="str">
        <f>HYPERLINK("https://www.ejacket.nsf.gov/ej/showProposal.do?ID="&amp;ckSplitsTable[[#This Row],[prop_id]],"eJ")</f>
        <v>eJ</v>
      </c>
      <c r="W18" s="8" t="s">
        <v>742</v>
      </c>
      <c r="X18" s="8" t="s">
        <v>1119</v>
      </c>
      <c r="Y18" s="8" t="s">
        <v>1120</v>
      </c>
      <c r="Z18" s="8" t="s">
        <v>2103</v>
      </c>
      <c r="AA18" s="8" t="s">
        <v>775</v>
      </c>
      <c r="AB18" s="87" t="str">
        <f>HYPERLINK("mailto:"&amp;ckSplitsTable[[#This Row],[email]]&amp;"&amp;subject=Your NSF Proposal:  "&amp;ckSplitsTable[[#This Row],[prop_id]],ckSplitsTable[[#This Row],[email]])</f>
        <v>indyk@mit.edu</v>
      </c>
      <c r="AC18" s="8" t="s">
        <v>2106</v>
      </c>
      <c r="AD18" s="8" t="s">
        <v>1968</v>
      </c>
      <c r="AE18" s="8" t="s">
        <v>1968</v>
      </c>
      <c r="AF18" s="8" t="s">
        <v>1119</v>
      </c>
      <c r="AG18" s="8" t="s">
        <v>1977</v>
      </c>
      <c r="AH18" s="8" t="s">
        <v>2105</v>
      </c>
    </row>
    <row r="19" spans="1:34">
      <c r="A19" s="30">
        <v>42934.517997685187</v>
      </c>
      <c r="B19" s="30">
        <v>42809.505555555559</v>
      </c>
      <c r="C19" t="s">
        <v>1967</v>
      </c>
      <c r="D19" t="s">
        <v>1965</v>
      </c>
      <c r="E19" s="8" t="s">
        <v>94</v>
      </c>
      <c r="F19" s="8" t="s">
        <v>94</v>
      </c>
      <c r="G19" t="s">
        <v>741</v>
      </c>
      <c r="H19" t="s">
        <v>2735</v>
      </c>
      <c r="I19" t="s">
        <v>901</v>
      </c>
      <c r="J19" t="s">
        <v>901</v>
      </c>
      <c r="K19" t="s">
        <v>543</v>
      </c>
      <c r="L19" t="s">
        <v>942</v>
      </c>
      <c r="M19" t="s">
        <v>1974</v>
      </c>
      <c r="N19" s="8" t="s">
        <v>170</v>
      </c>
      <c r="O19" s="8" t="s">
        <v>897</v>
      </c>
      <c r="P19" s="21">
        <v>2019</v>
      </c>
      <c r="Q19" s="8" t="s">
        <v>517</v>
      </c>
      <c r="R19" s="32">
        <v>250000</v>
      </c>
      <c r="S19" s="21">
        <f t="shared" si="0"/>
        <v>4</v>
      </c>
      <c r="T19" s="8" t="s">
        <v>96</v>
      </c>
      <c r="U19" s="8" t="s">
        <v>1119</v>
      </c>
      <c r="V19" s="87" t="str">
        <f>HYPERLINK("https://www.ejacket.nsf.gov/ej/showProposal.do?ID="&amp;ckSplitsTable[[#This Row],[prop_id]],"eJ")</f>
        <v>eJ</v>
      </c>
      <c r="W19" s="8" t="s">
        <v>742</v>
      </c>
      <c r="X19" s="8" t="s">
        <v>1119</v>
      </c>
      <c r="Y19" s="8" t="s">
        <v>1120</v>
      </c>
      <c r="Z19" s="8" t="s">
        <v>2103</v>
      </c>
      <c r="AA19" s="8" t="s">
        <v>775</v>
      </c>
      <c r="AB19" s="87" t="str">
        <f>HYPERLINK("mailto:"&amp;ckSplitsTable[[#This Row],[email]]&amp;"&amp;subject=Your NSF Proposal:  "&amp;ckSplitsTable[[#This Row],[prop_id]],ckSplitsTable[[#This Row],[email]])</f>
        <v>indyk@mit.edu</v>
      </c>
      <c r="AC19" s="8" t="s">
        <v>2106</v>
      </c>
      <c r="AD19" s="8" t="s">
        <v>1968</v>
      </c>
      <c r="AE19" s="8" t="s">
        <v>1968</v>
      </c>
      <c r="AF19" s="8" t="s">
        <v>1119</v>
      </c>
      <c r="AG19" s="8" t="s">
        <v>1977</v>
      </c>
      <c r="AH19" s="8" t="s">
        <v>2105</v>
      </c>
    </row>
    <row r="20" spans="1:34">
      <c r="A20" s="30">
        <v>42934.550185185188</v>
      </c>
      <c r="B20" s="30">
        <v>42809.54583333333</v>
      </c>
      <c r="C20" t="s">
        <v>1967</v>
      </c>
      <c r="D20" t="s">
        <v>1965</v>
      </c>
      <c r="E20" s="8" t="s">
        <v>94</v>
      </c>
      <c r="F20" s="8" t="s">
        <v>94</v>
      </c>
      <c r="G20" t="s">
        <v>741</v>
      </c>
      <c r="H20" t="s">
        <v>2733</v>
      </c>
      <c r="I20" t="s">
        <v>901</v>
      </c>
      <c r="J20" t="s">
        <v>901</v>
      </c>
      <c r="K20" t="s">
        <v>543</v>
      </c>
      <c r="L20" t="s">
        <v>2734</v>
      </c>
      <c r="M20" t="s">
        <v>1974</v>
      </c>
      <c r="N20" s="8" t="s">
        <v>170</v>
      </c>
      <c r="O20" s="8" t="s">
        <v>897</v>
      </c>
      <c r="P20" s="21">
        <v>2017</v>
      </c>
      <c r="Q20" s="8" t="s">
        <v>898</v>
      </c>
      <c r="R20" s="32">
        <v>500000</v>
      </c>
      <c r="S20" s="21">
        <f t="shared" si="0"/>
        <v>5</v>
      </c>
      <c r="T20" s="8" t="s">
        <v>96</v>
      </c>
      <c r="U20" s="8" t="s">
        <v>1148</v>
      </c>
      <c r="V20" s="87" t="str">
        <f>HYPERLINK("https://www.ejacket.nsf.gov/ej/showProposal.do?ID="&amp;ckSplitsTable[[#This Row],[prop_id]],"eJ")</f>
        <v>eJ</v>
      </c>
      <c r="W20" s="8" t="s">
        <v>742</v>
      </c>
      <c r="X20" s="8" t="s">
        <v>1148</v>
      </c>
      <c r="Y20" s="8" t="s">
        <v>980</v>
      </c>
      <c r="Z20" s="8" t="s">
        <v>2123</v>
      </c>
      <c r="AA20" s="8" t="s">
        <v>2124</v>
      </c>
      <c r="AB20" s="87" t="str">
        <f>HYPERLINK("mailto:"&amp;ckSplitsTable[[#This Row],[email]]&amp;"&amp;subject=Your NSF Proposal:  "&amp;ckSplitsTable[[#This Row],[prop_id]],ckSplitsTable[[#This Row],[email]])</f>
        <v>tamaldey@cse.ohio-state.edu</v>
      </c>
      <c r="AC20" s="8" t="s">
        <v>981</v>
      </c>
      <c r="AD20" s="8" t="s">
        <v>1968</v>
      </c>
      <c r="AE20" s="8" t="s">
        <v>1968</v>
      </c>
      <c r="AF20" s="8" t="s">
        <v>1148</v>
      </c>
      <c r="AG20" s="8" t="s">
        <v>1977</v>
      </c>
      <c r="AH20" s="8" t="s">
        <v>2125</v>
      </c>
    </row>
    <row r="21" spans="1:34">
      <c r="A21" s="30">
        <v>42934.550185185188</v>
      </c>
      <c r="B21" s="30">
        <v>42809.54583333333</v>
      </c>
      <c r="C21" t="s">
        <v>1967</v>
      </c>
      <c r="D21" t="s">
        <v>1965</v>
      </c>
      <c r="E21" s="8" t="s">
        <v>94</v>
      </c>
      <c r="F21" s="8" t="s">
        <v>94</v>
      </c>
      <c r="G21" t="s">
        <v>741</v>
      </c>
      <c r="H21" t="s">
        <v>2733</v>
      </c>
      <c r="I21" t="s">
        <v>901</v>
      </c>
      <c r="J21" t="s">
        <v>901</v>
      </c>
      <c r="K21" t="s">
        <v>543</v>
      </c>
      <c r="L21" t="s">
        <v>2734</v>
      </c>
      <c r="M21" t="s">
        <v>1974</v>
      </c>
      <c r="N21" s="8" t="s">
        <v>170</v>
      </c>
      <c r="O21" s="8" t="s">
        <v>897</v>
      </c>
      <c r="P21" s="21">
        <v>2018</v>
      </c>
      <c r="Q21" s="8" t="s">
        <v>898</v>
      </c>
      <c r="R21" s="32">
        <v>250000</v>
      </c>
      <c r="S21" s="21">
        <f t="shared" si="0"/>
        <v>5</v>
      </c>
      <c r="T21" s="8" t="s">
        <v>96</v>
      </c>
      <c r="U21" s="8" t="s">
        <v>1148</v>
      </c>
      <c r="V21" s="87" t="str">
        <f>HYPERLINK("https://www.ejacket.nsf.gov/ej/showProposal.do?ID="&amp;ckSplitsTable[[#This Row],[prop_id]],"eJ")</f>
        <v>eJ</v>
      </c>
      <c r="W21" s="8" t="s">
        <v>742</v>
      </c>
      <c r="X21" s="8" t="s">
        <v>1148</v>
      </c>
      <c r="Y21" s="8" t="s">
        <v>980</v>
      </c>
      <c r="Z21" s="8" t="s">
        <v>2123</v>
      </c>
      <c r="AA21" s="8" t="s">
        <v>2124</v>
      </c>
      <c r="AB21" s="87" t="str">
        <f>HYPERLINK("mailto:"&amp;ckSplitsTable[[#This Row],[email]]&amp;"&amp;subject=Your NSF Proposal:  "&amp;ckSplitsTable[[#This Row],[prop_id]],ckSplitsTable[[#This Row],[email]])</f>
        <v>tamaldey@cse.ohio-state.edu</v>
      </c>
      <c r="AC21" s="8" t="s">
        <v>981</v>
      </c>
      <c r="AD21" s="8" t="s">
        <v>1968</v>
      </c>
      <c r="AE21" s="8" t="s">
        <v>1968</v>
      </c>
      <c r="AF21" s="8" t="s">
        <v>1148</v>
      </c>
      <c r="AG21" s="8" t="s">
        <v>1977</v>
      </c>
      <c r="AH21" s="8" t="s">
        <v>2125</v>
      </c>
    </row>
    <row r="22" spans="1:34">
      <c r="A22" s="30">
        <v>42934.550185185188</v>
      </c>
      <c r="B22" s="30">
        <v>42809.54583333333</v>
      </c>
      <c r="C22" t="s">
        <v>1967</v>
      </c>
      <c r="D22" t="s">
        <v>1965</v>
      </c>
      <c r="E22" s="8" t="s">
        <v>94</v>
      </c>
      <c r="F22" s="8" t="s">
        <v>94</v>
      </c>
      <c r="G22" t="s">
        <v>741</v>
      </c>
      <c r="H22" t="s">
        <v>2735</v>
      </c>
      <c r="I22" t="s">
        <v>901</v>
      </c>
      <c r="J22" t="s">
        <v>901</v>
      </c>
      <c r="K22" t="s">
        <v>543</v>
      </c>
      <c r="L22" t="s">
        <v>942</v>
      </c>
      <c r="M22" t="s">
        <v>1974</v>
      </c>
      <c r="N22" s="8" t="s">
        <v>170</v>
      </c>
      <c r="O22" s="8" t="s">
        <v>897</v>
      </c>
      <c r="P22" s="21">
        <v>2018</v>
      </c>
      <c r="Q22" s="8" t="s">
        <v>517</v>
      </c>
      <c r="R22" s="32">
        <v>250000</v>
      </c>
      <c r="S22" s="21">
        <f t="shared" si="0"/>
        <v>5</v>
      </c>
      <c r="T22" s="8" t="s">
        <v>96</v>
      </c>
      <c r="U22" s="8" t="s">
        <v>1148</v>
      </c>
      <c r="V22" s="87" t="str">
        <f>HYPERLINK("https://www.ejacket.nsf.gov/ej/showProposal.do?ID="&amp;ckSplitsTable[[#This Row],[prop_id]],"eJ")</f>
        <v>eJ</v>
      </c>
      <c r="W22" s="8" t="s">
        <v>742</v>
      </c>
      <c r="X22" s="8" t="s">
        <v>1148</v>
      </c>
      <c r="Y22" s="8" t="s">
        <v>980</v>
      </c>
      <c r="Z22" s="8" t="s">
        <v>2123</v>
      </c>
      <c r="AA22" s="8" t="s">
        <v>2124</v>
      </c>
      <c r="AB22" s="87" t="str">
        <f>HYPERLINK("mailto:"&amp;ckSplitsTable[[#This Row],[email]]&amp;"&amp;subject=Your NSF Proposal:  "&amp;ckSplitsTable[[#This Row],[prop_id]],ckSplitsTable[[#This Row],[email]])</f>
        <v>tamaldey@cse.ohio-state.edu</v>
      </c>
      <c r="AC22" s="8" t="s">
        <v>981</v>
      </c>
      <c r="AD22" s="8" t="s">
        <v>1968</v>
      </c>
      <c r="AE22" s="8" t="s">
        <v>1968</v>
      </c>
      <c r="AF22" s="8" t="s">
        <v>1148</v>
      </c>
      <c r="AG22" s="8" t="s">
        <v>1977</v>
      </c>
      <c r="AH22" s="8" t="s">
        <v>2125</v>
      </c>
    </row>
    <row r="23" spans="1:34">
      <c r="A23" s="30">
        <v>42934.550185185188</v>
      </c>
      <c r="B23" s="30">
        <v>42809.54583333333</v>
      </c>
      <c r="C23" t="s">
        <v>1967</v>
      </c>
      <c r="D23" t="s">
        <v>1965</v>
      </c>
      <c r="E23" s="8" t="s">
        <v>94</v>
      </c>
      <c r="F23" s="8" t="s">
        <v>94</v>
      </c>
      <c r="G23" t="s">
        <v>741</v>
      </c>
      <c r="H23" t="s">
        <v>2733</v>
      </c>
      <c r="I23" t="s">
        <v>901</v>
      </c>
      <c r="J23" t="s">
        <v>901</v>
      </c>
      <c r="K23" t="s">
        <v>543</v>
      </c>
      <c r="L23" t="s">
        <v>2734</v>
      </c>
      <c r="M23" t="s">
        <v>1974</v>
      </c>
      <c r="N23" s="8" t="s">
        <v>170</v>
      </c>
      <c r="O23" s="8" t="s">
        <v>897</v>
      </c>
      <c r="P23" s="21">
        <v>2019</v>
      </c>
      <c r="Q23" s="8" t="s">
        <v>898</v>
      </c>
      <c r="R23" s="32">
        <v>250000</v>
      </c>
      <c r="S23" s="21">
        <f t="shared" si="0"/>
        <v>5</v>
      </c>
      <c r="T23" s="8" t="s">
        <v>96</v>
      </c>
      <c r="U23" s="8" t="s">
        <v>1148</v>
      </c>
      <c r="V23" s="87" t="str">
        <f>HYPERLINK("https://www.ejacket.nsf.gov/ej/showProposal.do?ID="&amp;ckSplitsTable[[#This Row],[prop_id]],"eJ")</f>
        <v>eJ</v>
      </c>
      <c r="W23" s="8" t="s">
        <v>742</v>
      </c>
      <c r="X23" s="8" t="s">
        <v>1148</v>
      </c>
      <c r="Y23" s="8" t="s">
        <v>980</v>
      </c>
      <c r="Z23" s="8" t="s">
        <v>2123</v>
      </c>
      <c r="AA23" s="8" t="s">
        <v>2124</v>
      </c>
      <c r="AB23" s="87" t="str">
        <f>HYPERLINK("mailto:"&amp;ckSplitsTable[[#This Row],[email]]&amp;"&amp;subject=Your NSF Proposal:  "&amp;ckSplitsTable[[#This Row],[prop_id]],ckSplitsTable[[#This Row],[email]])</f>
        <v>tamaldey@cse.ohio-state.edu</v>
      </c>
      <c r="AC23" s="8" t="s">
        <v>981</v>
      </c>
      <c r="AD23" s="8" t="s">
        <v>1968</v>
      </c>
      <c r="AE23" s="8" t="s">
        <v>1968</v>
      </c>
      <c r="AF23" s="8" t="s">
        <v>1148</v>
      </c>
      <c r="AG23" s="8" t="s">
        <v>1977</v>
      </c>
      <c r="AH23" s="8" t="s">
        <v>2125</v>
      </c>
    </row>
    <row r="24" spans="1:34">
      <c r="A24" s="30">
        <v>42934.550185185188</v>
      </c>
      <c r="B24" s="30">
        <v>42809.54583333333</v>
      </c>
      <c r="C24" t="s">
        <v>1967</v>
      </c>
      <c r="D24" t="s">
        <v>1965</v>
      </c>
      <c r="E24" s="8" t="s">
        <v>94</v>
      </c>
      <c r="F24" s="8" t="s">
        <v>94</v>
      </c>
      <c r="G24" t="s">
        <v>741</v>
      </c>
      <c r="H24" t="s">
        <v>2735</v>
      </c>
      <c r="I24" t="s">
        <v>901</v>
      </c>
      <c r="J24" t="s">
        <v>901</v>
      </c>
      <c r="K24" t="s">
        <v>543</v>
      </c>
      <c r="L24" t="s">
        <v>942</v>
      </c>
      <c r="M24" t="s">
        <v>1974</v>
      </c>
      <c r="N24" s="8" t="s">
        <v>170</v>
      </c>
      <c r="O24" s="8" t="s">
        <v>897</v>
      </c>
      <c r="P24" s="21">
        <v>2019</v>
      </c>
      <c r="Q24" s="8" t="s">
        <v>517</v>
      </c>
      <c r="R24" s="32">
        <v>250000</v>
      </c>
      <c r="S24" s="21">
        <f t="shared" si="0"/>
        <v>5</v>
      </c>
      <c r="T24" s="8" t="s">
        <v>96</v>
      </c>
      <c r="U24" s="8" t="s">
        <v>1148</v>
      </c>
      <c r="V24" s="87" t="str">
        <f>HYPERLINK("https://www.ejacket.nsf.gov/ej/showProposal.do?ID="&amp;ckSplitsTable[[#This Row],[prop_id]],"eJ")</f>
        <v>eJ</v>
      </c>
      <c r="W24" s="8" t="s">
        <v>742</v>
      </c>
      <c r="X24" s="8" t="s">
        <v>1148</v>
      </c>
      <c r="Y24" s="8" t="s">
        <v>980</v>
      </c>
      <c r="Z24" s="8" t="s">
        <v>2123</v>
      </c>
      <c r="AA24" s="8" t="s">
        <v>2124</v>
      </c>
      <c r="AB24" s="87" t="str">
        <f>HYPERLINK("mailto:"&amp;ckSplitsTable[[#This Row],[email]]&amp;"&amp;subject=Your NSF Proposal:  "&amp;ckSplitsTable[[#This Row],[prop_id]],ckSplitsTable[[#This Row],[email]])</f>
        <v>tamaldey@cse.ohio-state.edu</v>
      </c>
      <c r="AC24" s="8" t="s">
        <v>981</v>
      </c>
      <c r="AD24" s="8" t="s">
        <v>1968</v>
      </c>
      <c r="AE24" s="8" t="s">
        <v>1968</v>
      </c>
      <c r="AF24" s="8" t="s">
        <v>1148</v>
      </c>
      <c r="AG24" s="8" t="s">
        <v>1977</v>
      </c>
      <c r="AH24" s="8" t="s">
        <v>2125</v>
      </c>
    </row>
    <row r="25" spans="1:34">
      <c r="A25" s="30">
        <v>42930.452893518515</v>
      </c>
      <c r="B25" s="30">
        <v>42809.593055555553</v>
      </c>
      <c r="C25" t="s">
        <v>1967</v>
      </c>
      <c r="D25" t="s">
        <v>1965</v>
      </c>
      <c r="E25" s="8" t="s">
        <v>94</v>
      </c>
      <c r="F25" s="8" t="s">
        <v>94</v>
      </c>
      <c r="G25" t="s">
        <v>741</v>
      </c>
      <c r="H25" t="s">
        <v>2733</v>
      </c>
      <c r="I25" t="s">
        <v>901</v>
      </c>
      <c r="J25" t="s">
        <v>901</v>
      </c>
      <c r="K25" t="s">
        <v>942</v>
      </c>
      <c r="L25" t="s">
        <v>2734</v>
      </c>
      <c r="M25" t="s">
        <v>1974</v>
      </c>
      <c r="N25" s="8" t="s">
        <v>170</v>
      </c>
      <c r="O25" s="8" t="s">
        <v>897</v>
      </c>
      <c r="P25" s="21">
        <v>2017</v>
      </c>
      <c r="Q25" s="8" t="s">
        <v>898</v>
      </c>
      <c r="R25" s="32">
        <v>500000</v>
      </c>
      <c r="S25" s="21">
        <f t="shared" si="0"/>
        <v>6</v>
      </c>
      <c r="T25" s="8" t="s">
        <v>96</v>
      </c>
      <c r="U25" s="8" t="s">
        <v>1165</v>
      </c>
      <c r="V25" s="87" t="str">
        <f>HYPERLINK("https://www.ejacket.nsf.gov/ej/showProposal.do?ID="&amp;ckSplitsTable[[#This Row],[prop_id]],"eJ")</f>
        <v>eJ</v>
      </c>
      <c r="W25" s="8" t="s">
        <v>742</v>
      </c>
      <c r="X25" s="8" t="s">
        <v>1165</v>
      </c>
      <c r="Y25" s="8" t="s">
        <v>1166</v>
      </c>
      <c r="Z25" s="8" t="s">
        <v>2132</v>
      </c>
      <c r="AA25" s="8" t="s">
        <v>2133</v>
      </c>
      <c r="AB25" s="87" t="str">
        <f>HYPERLINK("mailto:"&amp;ckSplitsTable[[#This Row],[email]]&amp;"&amp;subject=Your NSF Proposal:  "&amp;ckSplitsTable[[#This Row],[prop_id]],ckSplitsTable[[#This Row],[email]])</f>
        <v>xiaoming@isye.gatech.edu</v>
      </c>
      <c r="AC25" s="8" t="s">
        <v>2135</v>
      </c>
      <c r="AD25" s="8" t="s">
        <v>1968</v>
      </c>
      <c r="AE25" s="8" t="s">
        <v>1968</v>
      </c>
      <c r="AF25" s="8" t="s">
        <v>1165</v>
      </c>
      <c r="AG25" s="8" t="s">
        <v>1977</v>
      </c>
      <c r="AH25" s="8" t="s">
        <v>2134</v>
      </c>
    </row>
    <row r="26" spans="1:34">
      <c r="A26" s="30">
        <v>42930.452893518515</v>
      </c>
      <c r="B26" s="30">
        <v>42809.593055555553</v>
      </c>
      <c r="C26" t="s">
        <v>1967</v>
      </c>
      <c r="D26" t="s">
        <v>1965</v>
      </c>
      <c r="E26" s="8" t="s">
        <v>94</v>
      </c>
      <c r="F26" s="8" t="s">
        <v>94</v>
      </c>
      <c r="G26" t="s">
        <v>741</v>
      </c>
      <c r="H26" t="s">
        <v>2733</v>
      </c>
      <c r="I26" t="s">
        <v>901</v>
      </c>
      <c r="J26" t="s">
        <v>901</v>
      </c>
      <c r="K26" t="s">
        <v>942</v>
      </c>
      <c r="L26" t="s">
        <v>2734</v>
      </c>
      <c r="M26" t="s">
        <v>1974</v>
      </c>
      <c r="N26" s="8" t="s">
        <v>170</v>
      </c>
      <c r="O26" s="8" t="s">
        <v>897</v>
      </c>
      <c r="P26" s="21">
        <v>2018</v>
      </c>
      <c r="Q26" s="8" t="s">
        <v>898</v>
      </c>
      <c r="R26" s="32">
        <v>250000</v>
      </c>
      <c r="S26" s="21">
        <f t="shared" si="0"/>
        <v>6</v>
      </c>
      <c r="T26" s="8" t="s">
        <v>96</v>
      </c>
      <c r="U26" s="8" t="s">
        <v>1165</v>
      </c>
      <c r="V26" s="87" t="str">
        <f>HYPERLINK("https://www.ejacket.nsf.gov/ej/showProposal.do?ID="&amp;ckSplitsTable[[#This Row],[prop_id]],"eJ")</f>
        <v>eJ</v>
      </c>
      <c r="W26" s="8" t="s">
        <v>742</v>
      </c>
      <c r="X26" s="8" t="s">
        <v>1165</v>
      </c>
      <c r="Y26" s="8" t="s">
        <v>1166</v>
      </c>
      <c r="Z26" s="8" t="s">
        <v>2132</v>
      </c>
      <c r="AA26" s="8" t="s">
        <v>2133</v>
      </c>
      <c r="AB26" s="87" t="str">
        <f>HYPERLINK("mailto:"&amp;ckSplitsTable[[#This Row],[email]]&amp;"&amp;subject=Your NSF Proposal:  "&amp;ckSplitsTable[[#This Row],[prop_id]],ckSplitsTable[[#This Row],[email]])</f>
        <v>xiaoming@isye.gatech.edu</v>
      </c>
      <c r="AC26" s="8" t="s">
        <v>2135</v>
      </c>
      <c r="AD26" s="8" t="s">
        <v>1968</v>
      </c>
      <c r="AE26" s="8" t="s">
        <v>1968</v>
      </c>
      <c r="AF26" s="8" t="s">
        <v>1165</v>
      </c>
      <c r="AG26" s="8" t="s">
        <v>1977</v>
      </c>
      <c r="AH26" s="8" t="s">
        <v>2134</v>
      </c>
    </row>
    <row r="27" spans="1:34">
      <c r="A27" s="30">
        <v>42930.452893518515</v>
      </c>
      <c r="B27" s="30">
        <v>42809.593055555553</v>
      </c>
      <c r="C27" t="s">
        <v>1967</v>
      </c>
      <c r="D27" t="s">
        <v>1965</v>
      </c>
      <c r="E27" s="8" t="s">
        <v>94</v>
      </c>
      <c r="F27" s="8" t="s">
        <v>94</v>
      </c>
      <c r="G27" t="s">
        <v>741</v>
      </c>
      <c r="H27" t="s">
        <v>2735</v>
      </c>
      <c r="I27" t="s">
        <v>901</v>
      </c>
      <c r="J27" t="s">
        <v>901</v>
      </c>
      <c r="K27" t="s">
        <v>942</v>
      </c>
      <c r="L27" t="s">
        <v>942</v>
      </c>
      <c r="M27" t="s">
        <v>1974</v>
      </c>
      <c r="N27" s="8" t="s">
        <v>170</v>
      </c>
      <c r="O27" s="8" t="s">
        <v>897</v>
      </c>
      <c r="P27" s="21">
        <v>2018</v>
      </c>
      <c r="Q27" s="8" t="s">
        <v>517</v>
      </c>
      <c r="R27" s="32">
        <v>250000</v>
      </c>
      <c r="S27" s="21">
        <f t="shared" si="0"/>
        <v>6</v>
      </c>
      <c r="T27" s="8" t="s">
        <v>96</v>
      </c>
      <c r="U27" s="8" t="s">
        <v>1165</v>
      </c>
      <c r="V27" s="87" t="str">
        <f>HYPERLINK("https://www.ejacket.nsf.gov/ej/showProposal.do?ID="&amp;ckSplitsTable[[#This Row],[prop_id]],"eJ")</f>
        <v>eJ</v>
      </c>
      <c r="W27" s="8" t="s">
        <v>742</v>
      </c>
      <c r="X27" s="8" t="s">
        <v>1165</v>
      </c>
      <c r="Y27" s="8" t="s">
        <v>1166</v>
      </c>
      <c r="Z27" s="8" t="s">
        <v>2132</v>
      </c>
      <c r="AA27" s="8" t="s">
        <v>2133</v>
      </c>
      <c r="AB27" s="87" t="str">
        <f>HYPERLINK("mailto:"&amp;ckSplitsTable[[#This Row],[email]]&amp;"&amp;subject=Your NSF Proposal:  "&amp;ckSplitsTable[[#This Row],[prop_id]],ckSplitsTable[[#This Row],[email]])</f>
        <v>xiaoming@isye.gatech.edu</v>
      </c>
      <c r="AC27" s="8" t="s">
        <v>2135</v>
      </c>
      <c r="AD27" s="8" t="s">
        <v>1968</v>
      </c>
      <c r="AE27" s="8" t="s">
        <v>1968</v>
      </c>
      <c r="AF27" s="8" t="s">
        <v>1165</v>
      </c>
      <c r="AG27" s="8" t="s">
        <v>1977</v>
      </c>
      <c r="AH27" s="8" t="s">
        <v>2134</v>
      </c>
    </row>
    <row r="28" spans="1:34">
      <c r="A28" s="30">
        <v>42930.452893518515</v>
      </c>
      <c r="B28" s="30">
        <v>42809.593055555553</v>
      </c>
      <c r="C28" t="s">
        <v>1967</v>
      </c>
      <c r="D28" t="s">
        <v>1965</v>
      </c>
      <c r="E28" s="8" t="s">
        <v>94</v>
      </c>
      <c r="F28" s="8" t="s">
        <v>94</v>
      </c>
      <c r="G28" t="s">
        <v>741</v>
      </c>
      <c r="H28" t="s">
        <v>2733</v>
      </c>
      <c r="I28" t="s">
        <v>901</v>
      </c>
      <c r="J28" t="s">
        <v>901</v>
      </c>
      <c r="K28" t="s">
        <v>942</v>
      </c>
      <c r="L28" t="s">
        <v>2734</v>
      </c>
      <c r="M28" t="s">
        <v>1974</v>
      </c>
      <c r="N28" s="8" t="s">
        <v>170</v>
      </c>
      <c r="O28" s="8" t="s">
        <v>897</v>
      </c>
      <c r="P28" s="21">
        <v>2019</v>
      </c>
      <c r="Q28" s="8" t="s">
        <v>898</v>
      </c>
      <c r="R28" s="32">
        <v>250000</v>
      </c>
      <c r="S28" s="21">
        <f t="shared" si="0"/>
        <v>6</v>
      </c>
      <c r="T28" s="8" t="s">
        <v>96</v>
      </c>
      <c r="U28" s="8" t="s">
        <v>1165</v>
      </c>
      <c r="V28" s="87" t="str">
        <f>HYPERLINK("https://www.ejacket.nsf.gov/ej/showProposal.do?ID="&amp;ckSplitsTable[[#This Row],[prop_id]],"eJ")</f>
        <v>eJ</v>
      </c>
      <c r="W28" s="8" t="s">
        <v>742</v>
      </c>
      <c r="X28" s="8" t="s">
        <v>1165</v>
      </c>
      <c r="Y28" s="8" t="s">
        <v>1166</v>
      </c>
      <c r="Z28" s="8" t="s">
        <v>2132</v>
      </c>
      <c r="AA28" s="8" t="s">
        <v>2133</v>
      </c>
      <c r="AB28" s="87" t="str">
        <f>HYPERLINK("mailto:"&amp;ckSplitsTable[[#This Row],[email]]&amp;"&amp;subject=Your NSF Proposal:  "&amp;ckSplitsTable[[#This Row],[prop_id]],ckSplitsTable[[#This Row],[email]])</f>
        <v>xiaoming@isye.gatech.edu</v>
      </c>
      <c r="AC28" s="8" t="s">
        <v>2135</v>
      </c>
      <c r="AD28" s="8" t="s">
        <v>1968</v>
      </c>
      <c r="AE28" s="8" t="s">
        <v>1968</v>
      </c>
      <c r="AF28" s="8" t="s">
        <v>1165</v>
      </c>
      <c r="AG28" s="8" t="s">
        <v>1977</v>
      </c>
      <c r="AH28" s="8" t="s">
        <v>2134</v>
      </c>
    </row>
    <row r="29" spans="1:34">
      <c r="A29" s="30">
        <v>42930.452893518515</v>
      </c>
      <c r="B29" s="30">
        <v>42809.593055555553</v>
      </c>
      <c r="C29" t="s">
        <v>1967</v>
      </c>
      <c r="D29" t="s">
        <v>1965</v>
      </c>
      <c r="E29" s="8" t="s">
        <v>94</v>
      </c>
      <c r="F29" s="8" t="s">
        <v>94</v>
      </c>
      <c r="G29" t="s">
        <v>741</v>
      </c>
      <c r="H29" t="s">
        <v>2735</v>
      </c>
      <c r="I29" t="s">
        <v>901</v>
      </c>
      <c r="J29" t="s">
        <v>901</v>
      </c>
      <c r="K29" t="s">
        <v>942</v>
      </c>
      <c r="L29" t="s">
        <v>942</v>
      </c>
      <c r="M29" t="s">
        <v>1974</v>
      </c>
      <c r="N29" s="8" t="s">
        <v>170</v>
      </c>
      <c r="O29" s="8" t="s">
        <v>897</v>
      </c>
      <c r="P29" s="21">
        <v>2019</v>
      </c>
      <c r="Q29" s="8" t="s">
        <v>517</v>
      </c>
      <c r="R29" s="32">
        <v>250000</v>
      </c>
      <c r="S29" s="21">
        <f t="shared" si="0"/>
        <v>6</v>
      </c>
      <c r="T29" s="8" t="s">
        <v>96</v>
      </c>
      <c r="U29" s="8" t="s">
        <v>1165</v>
      </c>
      <c r="V29" s="87" t="str">
        <f>HYPERLINK("https://www.ejacket.nsf.gov/ej/showProposal.do?ID="&amp;ckSplitsTable[[#This Row],[prop_id]],"eJ")</f>
        <v>eJ</v>
      </c>
      <c r="W29" s="8" t="s">
        <v>742</v>
      </c>
      <c r="X29" s="8" t="s">
        <v>1165</v>
      </c>
      <c r="Y29" s="8" t="s">
        <v>1166</v>
      </c>
      <c r="Z29" s="8" t="s">
        <v>2132</v>
      </c>
      <c r="AA29" s="8" t="s">
        <v>2133</v>
      </c>
      <c r="AB29" s="87" t="str">
        <f>HYPERLINK("mailto:"&amp;ckSplitsTable[[#This Row],[email]]&amp;"&amp;subject=Your NSF Proposal:  "&amp;ckSplitsTable[[#This Row],[prop_id]],ckSplitsTable[[#This Row],[email]])</f>
        <v>xiaoming@isye.gatech.edu</v>
      </c>
      <c r="AC29" s="8" t="s">
        <v>2135</v>
      </c>
      <c r="AD29" s="8" t="s">
        <v>1968</v>
      </c>
      <c r="AE29" s="8" t="s">
        <v>1968</v>
      </c>
      <c r="AF29" s="8" t="s">
        <v>1165</v>
      </c>
      <c r="AG29" s="8" t="s">
        <v>1977</v>
      </c>
      <c r="AH29" s="8" t="s">
        <v>2134</v>
      </c>
    </row>
    <row r="30" spans="1:34">
      <c r="A30" s="30">
        <v>42936.692673611113</v>
      </c>
      <c r="B30" s="30">
        <v>42809.64166666667</v>
      </c>
      <c r="C30" t="s">
        <v>1967</v>
      </c>
      <c r="D30" t="s">
        <v>1965</v>
      </c>
      <c r="E30" s="8" t="s">
        <v>94</v>
      </c>
      <c r="F30" s="8" t="s">
        <v>94</v>
      </c>
      <c r="G30" t="s">
        <v>741</v>
      </c>
      <c r="H30" t="s">
        <v>741</v>
      </c>
      <c r="I30" t="s">
        <v>901</v>
      </c>
      <c r="J30" t="s">
        <v>901</v>
      </c>
      <c r="K30" t="s">
        <v>540</v>
      </c>
      <c r="L30" t="s">
        <v>540</v>
      </c>
      <c r="M30" t="s">
        <v>1974</v>
      </c>
      <c r="N30" s="8" t="s">
        <v>170</v>
      </c>
      <c r="O30" s="8" t="s">
        <v>897</v>
      </c>
      <c r="P30" s="21">
        <v>2017</v>
      </c>
      <c r="Q30" s="8" t="s">
        <v>898</v>
      </c>
      <c r="R30" s="32">
        <v>150257</v>
      </c>
      <c r="S30" s="21">
        <f t="shared" si="0"/>
        <v>7</v>
      </c>
      <c r="T30" s="8" t="s">
        <v>1981</v>
      </c>
      <c r="U30" s="8" t="s">
        <v>1197</v>
      </c>
      <c r="V30" s="87" t="str">
        <f>HYPERLINK("https://www.ejacket.nsf.gov/ej/showProposal.do?ID="&amp;ckSplitsTable[[#This Row],[prop_id]],"eJ")</f>
        <v>eJ</v>
      </c>
      <c r="W30" s="8" t="s">
        <v>742</v>
      </c>
      <c r="X30" s="8" t="s">
        <v>1197</v>
      </c>
      <c r="Y30" s="8" t="s">
        <v>1198</v>
      </c>
      <c r="Z30" s="8" t="s">
        <v>2171</v>
      </c>
      <c r="AA30" s="8" t="s">
        <v>2109</v>
      </c>
      <c r="AB30" s="87" t="str">
        <f>HYPERLINK("mailto:"&amp;ckSplitsTable[[#This Row],[email]]&amp;"&amp;subject=Your NSF Proposal:  "&amp;ckSplitsTable[[#This Row],[prop_id]],ckSplitsTable[[#This Row],[email]])</f>
        <v>kas410@lehigh.edu</v>
      </c>
      <c r="AC30" s="8" t="s">
        <v>2174</v>
      </c>
      <c r="AD30" s="8" t="s">
        <v>2007</v>
      </c>
      <c r="AE30" s="8" t="s">
        <v>2007</v>
      </c>
      <c r="AF30" s="8" t="s">
        <v>1197</v>
      </c>
      <c r="AG30" s="8" t="s">
        <v>1977</v>
      </c>
      <c r="AH30" s="8" t="s">
        <v>2173</v>
      </c>
    </row>
    <row r="31" spans="1:34">
      <c r="A31" s="30">
        <v>42936.692673611113</v>
      </c>
      <c r="B31" s="30">
        <v>42809.64166666667</v>
      </c>
      <c r="C31" t="s">
        <v>1967</v>
      </c>
      <c r="D31" t="s">
        <v>1965</v>
      </c>
      <c r="E31" s="8" t="s">
        <v>94</v>
      </c>
      <c r="F31" s="8" t="s">
        <v>94</v>
      </c>
      <c r="G31" t="s">
        <v>741</v>
      </c>
      <c r="H31" t="s">
        <v>2735</v>
      </c>
      <c r="I31" t="s">
        <v>901</v>
      </c>
      <c r="J31" t="s">
        <v>901</v>
      </c>
      <c r="K31" t="s">
        <v>540</v>
      </c>
      <c r="L31" t="s">
        <v>942</v>
      </c>
      <c r="M31" t="s">
        <v>1974</v>
      </c>
      <c r="N31" s="8" t="s">
        <v>170</v>
      </c>
      <c r="O31" s="8" t="s">
        <v>897</v>
      </c>
      <c r="P31" s="21">
        <v>2017</v>
      </c>
      <c r="Q31" s="8" t="s">
        <v>517</v>
      </c>
      <c r="R31" s="32">
        <v>150258</v>
      </c>
      <c r="S31" s="21">
        <f t="shared" si="0"/>
        <v>7</v>
      </c>
      <c r="T31" s="8" t="s">
        <v>1981</v>
      </c>
      <c r="U31" s="8" t="s">
        <v>1197</v>
      </c>
      <c r="V31" s="87" t="str">
        <f>HYPERLINK("https://www.ejacket.nsf.gov/ej/showProposal.do?ID="&amp;ckSplitsTable[[#This Row],[prop_id]],"eJ")</f>
        <v>eJ</v>
      </c>
      <c r="W31" s="8" t="s">
        <v>742</v>
      </c>
      <c r="X31" s="8" t="s">
        <v>1197</v>
      </c>
      <c r="Y31" s="8" t="s">
        <v>1198</v>
      </c>
      <c r="Z31" s="8" t="s">
        <v>2171</v>
      </c>
      <c r="AA31" s="8" t="s">
        <v>2109</v>
      </c>
      <c r="AB31" s="87" t="str">
        <f>HYPERLINK("mailto:"&amp;ckSplitsTable[[#This Row],[email]]&amp;"&amp;subject=Your NSF Proposal:  "&amp;ckSplitsTable[[#This Row],[prop_id]],ckSplitsTable[[#This Row],[email]])</f>
        <v>kas410@lehigh.edu</v>
      </c>
      <c r="AC31" s="8" t="s">
        <v>2174</v>
      </c>
      <c r="AD31" s="8" t="s">
        <v>2007</v>
      </c>
      <c r="AE31" s="8" t="s">
        <v>2007</v>
      </c>
      <c r="AF31" s="8" t="s">
        <v>1197</v>
      </c>
      <c r="AG31" s="8" t="s">
        <v>1977</v>
      </c>
      <c r="AH31" s="8" t="s">
        <v>2173</v>
      </c>
    </row>
    <row r="32" spans="1:34">
      <c r="A32" s="30">
        <v>42936.692673611113</v>
      </c>
      <c r="B32" s="30">
        <v>42809.64166666667</v>
      </c>
      <c r="C32" t="s">
        <v>1967</v>
      </c>
      <c r="D32" t="s">
        <v>1965</v>
      </c>
      <c r="E32" s="8" t="s">
        <v>94</v>
      </c>
      <c r="F32" s="8" t="s">
        <v>94</v>
      </c>
      <c r="G32" t="s">
        <v>741</v>
      </c>
      <c r="H32" t="s">
        <v>741</v>
      </c>
      <c r="I32" t="s">
        <v>901</v>
      </c>
      <c r="J32" t="s">
        <v>901</v>
      </c>
      <c r="K32" t="s">
        <v>540</v>
      </c>
      <c r="L32" t="s">
        <v>540</v>
      </c>
      <c r="M32" t="s">
        <v>1974</v>
      </c>
      <c r="N32" s="8" t="s">
        <v>170</v>
      </c>
      <c r="O32" s="8" t="s">
        <v>897</v>
      </c>
      <c r="P32" s="21">
        <v>2018</v>
      </c>
      <c r="Q32" s="8" t="s">
        <v>898</v>
      </c>
      <c r="R32" s="32">
        <v>148648</v>
      </c>
      <c r="S32" s="21">
        <f t="shared" si="0"/>
        <v>7</v>
      </c>
      <c r="T32" s="8" t="s">
        <v>1981</v>
      </c>
      <c r="U32" s="8" t="s">
        <v>1197</v>
      </c>
      <c r="V32" s="87" t="str">
        <f>HYPERLINK("https://www.ejacket.nsf.gov/ej/showProposal.do?ID="&amp;ckSplitsTable[[#This Row],[prop_id]],"eJ")</f>
        <v>eJ</v>
      </c>
      <c r="W32" s="8" t="s">
        <v>742</v>
      </c>
      <c r="X32" s="8" t="s">
        <v>1197</v>
      </c>
      <c r="Y32" s="8" t="s">
        <v>1198</v>
      </c>
      <c r="Z32" s="8" t="s">
        <v>2171</v>
      </c>
      <c r="AA32" s="8" t="s">
        <v>2109</v>
      </c>
      <c r="AB32" s="87" t="str">
        <f>HYPERLINK("mailto:"&amp;ckSplitsTable[[#This Row],[email]]&amp;"&amp;subject=Your NSF Proposal:  "&amp;ckSplitsTable[[#This Row],[prop_id]],ckSplitsTable[[#This Row],[email]])</f>
        <v>kas410@lehigh.edu</v>
      </c>
      <c r="AC32" s="8" t="s">
        <v>2174</v>
      </c>
      <c r="AD32" s="8" t="s">
        <v>2007</v>
      </c>
      <c r="AE32" s="8" t="s">
        <v>2007</v>
      </c>
      <c r="AF32" s="8" t="s">
        <v>1197</v>
      </c>
      <c r="AG32" s="8" t="s">
        <v>1977</v>
      </c>
      <c r="AH32" s="8" t="s">
        <v>2173</v>
      </c>
    </row>
    <row r="33" spans="1:34">
      <c r="A33" s="30">
        <v>42936.692673611113</v>
      </c>
      <c r="B33" s="30">
        <v>42809.64166666667</v>
      </c>
      <c r="C33" t="s">
        <v>1967</v>
      </c>
      <c r="D33" t="s">
        <v>1965</v>
      </c>
      <c r="E33" s="8" t="s">
        <v>94</v>
      </c>
      <c r="F33" s="8" t="s">
        <v>94</v>
      </c>
      <c r="G33" t="s">
        <v>741</v>
      </c>
      <c r="H33" t="s">
        <v>2735</v>
      </c>
      <c r="I33" t="s">
        <v>901</v>
      </c>
      <c r="J33" t="s">
        <v>901</v>
      </c>
      <c r="K33" t="s">
        <v>540</v>
      </c>
      <c r="L33" t="s">
        <v>942</v>
      </c>
      <c r="M33" t="s">
        <v>1974</v>
      </c>
      <c r="N33" s="8" t="s">
        <v>170</v>
      </c>
      <c r="O33" s="8" t="s">
        <v>897</v>
      </c>
      <c r="P33" s="21">
        <v>2018</v>
      </c>
      <c r="Q33" s="8" t="s">
        <v>517</v>
      </c>
      <c r="R33" s="32">
        <v>148648</v>
      </c>
      <c r="S33" s="21">
        <f t="shared" si="0"/>
        <v>7</v>
      </c>
      <c r="T33" s="8" t="s">
        <v>1981</v>
      </c>
      <c r="U33" s="8" t="s">
        <v>1197</v>
      </c>
      <c r="V33" s="87" t="str">
        <f>HYPERLINK("https://www.ejacket.nsf.gov/ej/showProposal.do?ID="&amp;ckSplitsTable[[#This Row],[prop_id]],"eJ")</f>
        <v>eJ</v>
      </c>
      <c r="W33" s="8" t="s">
        <v>742</v>
      </c>
      <c r="X33" s="8" t="s">
        <v>1197</v>
      </c>
      <c r="Y33" s="8" t="s">
        <v>1198</v>
      </c>
      <c r="Z33" s="8" t="s">
        <v>2171</v>
      </c>
      <c r="AA33" s="8" t="s">
        <v>2109</v>
      </c>
      <c r="AB33" s="87" t="str">
        <f>HYPERLINK("mailto:"&amp;ckSplitsTable[[#This Row],[email]]&amp;"&amp;subject=Your NSF Proposal:  "&amp;ckSplitsTable[[#This Row],[prop_id]],ckSplitsTable[[#This Row],[email]])</f>
        <v>kas410@lehigh.edu</v>
      </c>
      <c r="AC33" s="8" t="s">
        <v>2174</v>
      </c>
      <c r="AD33" s="8" t="s">
        <v>2007</v>
      </c>
      <c r="AE33" s="8" t="s">
        <v>2007</v>
      </c>
      <c r="AF33" s="8" t="s">
        <v>1197</v>
      </c>
      <c r="AG33" s="8" t="s">
        <v>1977</v>
      </c>
      <c r="AH33" s="8" t="s">
        <v>2173</v>
      </c>
    </row>
    <row r="34" spans="1:34">
      <c r="A34" s="30">
        <v>42936.692673611113</v>
      </c>
      <c r="B34" s="30">
        <v>42809.64166666667</v>
      </c>
      <c r="C34" t="s">
        <v>1967</v>
      </c>
      <c r="D34" t="s">
        <v>1965</v>
      </c>
      <c r="E34" s="8" t="s">
        <v>94</v>
      </c>
      <c r="F34" s="8" t="s">
        <v>94</v>
      </c>
      <c r="G34" t="s">
        <v>741</v>
      </c>
      <c r="H34" t="s">
        <v>741</v>
      </c>
      <c r="I34" t="s">
        <v>901</v>
      </c>
      <c r="J34" t="s">
        <v>901</v>
      </c>
      <c r="K34" t="s">
        <v>540</v>
      </c>
      <c r="L34" t="s">
        <v>540</v>
      </c>
      <c r="M34" t="s">
        <v>1974</v>
      </c>
      <c r="N34" s="8" t="s">
        <v>170</v>
      </c>
      <c r="O34" s="8" t="s">
        <v>897</v>
      </c>
      <c r="P34" s="21">
        <v>2019</v>
      </c>
      <c r="Q34" s="8" t="s">
        <v>898</v>
      </c>
      <c r="R34" s="32">
        <v>148930</v>
      </c>
      <c r="S34" s="21">
        <f t="shared" ref="S34:S65" si="1">S33+(X34&lt;&gt;X33)</f>
        <v>7</v>
      </c>
      <c r="T34" s="8" t="s">
        <v>1981</v>
      </c>
      <c r="U34" s="8" t="s">
        <v>1197</v>
      </c>
      <c r="V34" s="87" t="str">
        <f>HYPERLINK("https://www.ejacket.nsf.gov/ej/showProposal.do?ID="&amp;ckSplitsTable[[#This Row],[prop_id]],"eJ")</f>
        <v>eJ</v>
      </c>
      <c r="W34" s="8" t="s">
        <v>742</v>
      </c>
      <c r="X34" s="8" t="s">
        <v>1197</v>
      </c>
      <c r="Y34" s="8" t="s">
        <v>1198</v>
      </c>
      <c r="Z34" s="8" t="s">
        <v>2171</v>
      </c>
      <c r="AA34" s="8" t="s">
        <v>2109</v>
      </c>
      <c r="AB34" s="87" t="str">
        <f>HYPERLINK("mailto:"&amp;ckSplitsTable[[#This Row],[email]]&amp;"&amp;subject=Your NSF Proposal:  "&amp;ckSplitsTable[[#This Row],[prop_id]],ckSplitsTable[[#This Row],[email]])</f>
        <v>kas410@lehigh.edu</v>
      </c>
      <c r="AC34" s="8" t="s">
        <v>2174</v>
      </c>
      <c r="AD34" s="8" t="s">
        <v>2007</v>
      </c>
      <c r="AE34" s="8" t="s">
        <v>2007</v>
      </c>
      <c r="AF34" s="8" t="s">
        <v>1197</v>
      </c>
      <c r="AG34" s="8" t="s">
        <v>1977</v>
      </c>
      <c r="AH34" s="8" t="s">
        <v>2173</v>
      </c>
    </row>
    <row r="35" spans="1:34">
      <c r="A35" s="30">
        <v>42936.692673611113</v>
      </c>
      <c r="B35" s="30">
        <v>42809.64166666667</v>
      </c>
      <c r="C35" t="s">
        <v>1967</v>
      </c>
      <c r="D35" t="s">
        <v>1965</v>
      </c>
      <c r="E35" s="8" t="s">
        <v>94</v>
      </c>
      <c r="F35" s="8" t="s">
        <v>94</v>
      </c>
      <c r="G35" t="s">
        <v>741</v>
      </c>
      <c r="H35" t="s">
        <v>2735</v>
      </c>
      <c r="I35" t="s">
        <v>901</v>
      </c>
      <c r="J35" t="s">
        <v>901</v>
      </c>
      <c r="K35" t="s">
        <v>540</v>
      </c>
      <c r="L35" t="s">
        <v>942</v>
      </c>
      <c r="M35" t="s">
        <v>1974</v>
      </c>
      <c r="N35" s="8" t="s">
        <v>170</v>
      </c>
      <c r="O35" s="8" t="s">
        <v>897</v>
      </c>
      <c r="P35" s="21">
        <v>2019</v>
      </c>
      <c r="Q35" s="8" t="s">
        <v>517</v>
      </c>
      <c r="R35" s="32">
        <v>148929</v>
      </c>
      <c r="S35" s="21">
        <f t="shared" si="1"/>
        <v>7</v>
      </c>
      <c r="T35" s="8" t="s">
        <v>1981</v>
      </c>
      <c r="U35" s="8" t="s">
        <v>1197</v>
      </c>
      <c r="V35" s="87" t="str">
        <f>HYPERLINK("https://www.ejacket.nsf.gov/ej/showProposal.do?ID="&amp;ckSplitsTable[[#This Row],[prop_id]],"eJ")</f>
        <v>eJ</v>
      </c>
      <c r="W35" s="8" t="s">
        <v>742</v>
      </c>
      <c r="X35" s="8" t="s">
        <v>1197</v>
      </c>
      <c r="Y35" s="8" t="s">
        <v>1198</v>
      </c>
      <c r="Z35" s="8" t="s">
        <v>2171</v>
      </c>
      <c r="AA35" s="8" t="s">
        <v>2109</v>
      </c>
      <c r="AB35" s="87" t="str">
        <f>HYPERLINK("mailto:"&amp;ckSplitsTable[[#This Row],[email]]&amp;"&amp;subject=Your NSF Proposal:  "&amp;ckSplitsTable[[#This Row],[prop_id]],ckSplitsTable[[#This Row],[email]])</f>
        <v>kas410@lehigh.edu</v>
      </c>
      <c r="AC35" s="8" t="s">
        <v>2174</v>
      </c>
      <c r="AD35" s="8" t="s">
        <v>2007</v>
      </c>
      <c r="AE35" s="8" t="s">
        <v>2007</v>
      </c>
      <c r="AF35" s="8" t="s">
        <v>1197</v>
      </c>
      <c r="AG35" s="8" t="s">
        <v>1977</v>
      </c>
      <c r="AH35" s="8" t="s">
        <v>2173</v>
      </c>
    </row>
    <row r="36" spans="1:34">
      <c r="A36" s="30">
        <v>42936.693009259259</v>
      </c>
      <c r="B36" s="30">
        <v>42809.44027777778</v>
      </c>
      <c r="C36" t="s">
        <v>1967</v>
      </c>
      <c r="D36" t="s">
        <v>1965</v>
      </c>
      <c r="E36" s="8" t="s">
        <v>94</v>
      </c>
      <c r="F36" s="8" t="s">
        <v>94</v>
      </c>
      <c r="G36" t="s">
        <v>741</v>
      </c>
      <c r="H36" t="s">
        <v>741</v>
      </c>
      <c r="I36" t="s">
        <v>901</v>
      </c>
      <c r="J36" t="s">
        <v>901</v>
      </c>
      <c r="K36" t="s">
        <v>540</v>
      </c>
      <c r="L36" t="s">
        <v>540</v>
      </c>
      <c r="M36" t="s">
        <v>1974</v>
      </c>
      <c r="N36" s="8" t="s">
        <v>170</v>
      </c>
      <c r="O36" s="8" t="s">
        <v>897</v>
      </c>
      <c r="P36" s="21">
        <v>2017</v>
      </c>
      <c r="Q36" s="8" t="s">
        <v>898</v>
      </c>
      <c r="R36" s="32">
        <v>45539</v>
      </c>
      <c r="S36" s="21">
        <f t="shared" si="1"/>
        <v>8</v>
      </c>
      <c r="T36" s="8" t="s">
        <v>1989</v>
      </c>
      <c r="U36" s="8" t="s">
        <v>1197</v>
      </c>
      <c r="V36" s="87" t="str">
        <f>HYPERLINK("https://www.ejacket.nsf.gov/ej/showProposal.do?ID="&amp;ckSplitsTable[[#This Row],[prop_id]],"eJ")</f>
        <v>eJ</v>
      </c>
      <c r="W36" s="8" t="s">
        <v>742</v>
      </c>
      <c r="X36" s="8" t="s">
        <v>2175</v>
      </c>
      <c r="Y36" s="8" t="s">
        <v>2176</v>
      </c>
      <c r="Z36" s="8" t="s">
        <v>2177</v>
      </c>
      <c r="AA36" s="8" t="s">
        <v>2178</v>
      </c>
      <c r="AB36" s="87" t="str">
        <f>HYPERLINK("mailto:"&amp;ckSplitsTable[[#This Row],[email]]&amp;"&amp;subject=Your NSF Proposal:  "&amp;ckSplitsTable[[#This Row],[prop_id]],ckSplitsTable[[#This Row],[email]])</f>
        <v>hanliu@princeton.edu</v>
      </c>
      <c r="AC36" s="8" t="s">
        <v>2180</v>
      </c>
      <c r="AD36" s="8" t="s">
        <v>1968</v>
      </c>
      <c r="AE36" s="8" t="s">
        <v>1968</v>
      </c>
      <c r="AF36" s="8" t="s">
        <v>2175</v>
      </c>
      <c r="AG36" s="8" t="s">
        <v>1977</v>
      </c>
      <c r="AH36" s="8" t="s">
        <v>2179</v>
      </c>
    </row>
    <row r="37" spans="1:34">
      <c r="A37" s="30">
        <v>42936.693009259259</v>
      </c>
      <c r="B37" s="30">
        <v>42809.44027777778</v>
      </c>
      <c r="C37" t="s">
        <v>1967</v>
      </c>
      <c r="D37" t="s">
        <v>1965</v>
      </c>
      <c r="E37" s="8" t="s">
        <v>94</v>
      </c>
      <c r="F37" s="8" t="s">
        <v>94</v>
      </c>
      <c r="G37" t="s">
        <v>741</v>
      </c>
      <c r="H37" t="s">
        <v>2735</v>
      </c>
      <c r="I37" t="s">
        <v>901</v>
      </c>
      <c r="J37" t="s">
        <v>901</v>
      </c>
      <c r="K37" t="s">
        <v>540</v>
      </c>
      <c r="L37" t="s">
        <v>942</v>
      </c>
      <c r="M37" t="s">
        <v>1974</v>
      </c>
      <c r="N37" s="8" t="s">
        <v>170</v>
      </c>
      <c r="O37" s="8" t="s">
        <v>897</v>
      </c>
      <c r="P37" s="21">
        <v>2017</v>
      </c>
      <c r="Q37" s="8" t="s">
        <v>517</v>
      </c>
      <c r="R37" s="32">
        <v>45538</v>
      </c>
      <c r="S37" s="21">
        <f t="shared" si="1"/>
        <v>8</v>
      </c>
      <c r="T37" s="8" t="s">
        <v>1989</v>
      </c>
      <c r="U37" s="8" t="s">
        <v>1197</v>
      </c>
      <c r="V37" s="87" t="str">
        <f>HYPERLINK("https://www.ejacket.nsf.gov/ej/showProposal.do?ID="&amp;ckSplitsTable[[#This Row],[prop_id]],"eJ")</f>
        <v>eJ</v>
      </c>
      <c r="W37" s="8" t="s">
        <v>742</v>
      </c>
      <c r="X37" s="8" t="s">
        <v>2175</v>
      </c>
      <c r="Y37" s="8" t="s">
        <v>2176</v>
      </c>
      <c r="Z37" s="8" t="s">
        <v>2177</v>
      </c>
      <c r="AA37" s="8" t="s">
        <v>2178</v>
      </c>
      <c r="AB37" s="87" t="str">
        <f>HYPERLINK("mailto:"&amp;ckSplitsTable[[#This Row],[email]]&amp;"&amp;subject=Your NSF Proposal:  "&amp;ckSplitsTable[[#This Row],[prop_id]],ckSplitsTable[[#This Row],[email]])</f>
        <v>hanliu@princeton.edu</v>
      </c>
      <c r="AC37" s="8" t="s">
        <v>2180</v>
      </c>
      <c r="AD37" s="8" t="s">
        <v>1968</v>
      </c>
      <c r="AE37" s="8" t="s">
        <v>1968</v>
      </c>
      <c r="AF37" s="8" t="s">
        <v>2175</v>
      </c>
      <c r="AG37" s="8" t="s">
        <v>1977</v>
      </c>
      <c r="AH37" s="8" t="s">
        <v>2179</v>
      </c>
    </row>
    <row r="38" spans="1:34">
      <c r="A38" s="30">
        <v>42936.693009259259</v>
      </c>
      <c r="B38" s="30">
        <v>42809.44027777778</v>
      </c>
      <c r="C38" t="s">
        <v>1967</v>
      </c>
      <c r="D38" t="s">
        <v>1965</v>
      </c>
      <c r="E38" s="8" t="s">
        <v>94</v>
      </c>
      <c r="F38" s="8" t="s">
        <v>94</v>
      </c>
      <c r="G38" t="s">
        <v>741</v>
      </c>
      <c r="H38" t="s">
        <v>741</v>
      </c>
      <c r="I38" t="s">
        <v>901</v>
      </c>
      <c r="J38" t="s">
        <v>901</v>
      </c>
      <c r="K38" t="s">
        <v>540</v>
      </c>
      <c r="L38" t="s">
        <v>540</v>
      </c>
      <c r="M38" t="s">
        <v>1974</v>
      </c>
      <c r="N38" s="8" t="s">
        <v>170</v>
      </c>
      <c r="O38" s="8" t="s">
        <v>897</v>
      </c>
      <c r="P38" s="21">
        <v>2018</v>
      </c>
      <c r="Q38" s="8" t="s">
        <v>898</v>
      </c>
      <c r="R38" s="32">
        <v>52819</v>
      </c>
      <c r="S38" s="21">
        <f t="shared" si="1"/>
        <v>8</v>
      </c>
      <c r="T38" s="8" t="s">
        <v>1989</v>
      </c>
      <c r="U38" s="8" t="s">
        <v>1197</v>
      </c>
      <c r="V38" s="87" t="str">
        <f>HYPERLINK("https://www.ejacket.nsf.gov/ej/showProposal.do?ID="&amp;ckSplitsTable[[#This Row],[prop_id]],"eJ")</f>
        <v>eJ</v>
      </c>
      <c r="W38" s="8" t="s">
        <v>742</v>
      </c>
      <c r="X38" s="8" t="s">
        <v>2175</v>
      </c>
      <c r="Y38" s="8" t="s">
        <v>2176</v>
      </c>
      <c r="Z38" s="8" t="s">
        <v>2177</v>
      </c>
      <c r="AA38" s="8" t="s">
        <v>2178</v>
      </c>
      <c r="AB38" s="87" t="str">
        <f>HYPERLINK("mailto:"&amp;ckSplitsTable[[#This Row],[email]]&amp;"&amp;subject=Your NSF Proposal:  "&amp;ckSplitsTable[[#This Row],[prop_id]],ckSplitsTable[[#This Row],[email]])</f>
        <v>hanliu@princeton.edu</v>
      </c>
      <c r="AC38" s="8" t="s">
        <v>2180</v>
      </c>
      <c r="AD38" s="8" t="s">
        <v>1968</v>
      </c>
      <c r="AE38" s="8" t="s">
        <v>1968</v>
      </c>
      <c r="AF38" s="8" t="s">
        <v>2175</v>
      </c>
      <c r="AG38" s="8" t="s">
        <v>1977</v>
      </c>
      <c r="AH38" s="8" t="s">
        <v>2179</v>
      </c>
    </row>
    <row r="39" spans="1:34">
      <c r="A39" s="30">
        <v>42936.693009259259</v>
      </c>
      <c r="B39" s="30">
        <v>42809.44027777778</v>
      </c>
      <c r="C39" t="s">
        <v>1967</v>
      </c>
      <c r="D39" t="s">
        <v>1965</v>
      </c>
      <c r="E39" s="8" t="s">
        <v>94</v>
      </c>
      <c r="F39" s="8" t="s">
        <v>94</v>
      </c>
      <c r="G39" t="s">
        <v>741</v>
      </c>
      <c r="H39" t="s">
        <v>2735</v>
      </c>
      <c r="I39" t="s">
        <v>901</v>
      </c>
      <c r="J39" t="s">
        <v>901</v>
      </c>
      <c r="K39" t="s">
        <v>540</v>
      </c>
      <c r="L39" t="s">
        <v>942</v>
      </c>
      <c r="M39" t="s">
        <v>1974</v>
      </c>
      <c r="N39" s="8" t="s">
        <v>170</v>
      </c>
      <c r="O39" s="8" t="s">
        <v>897</v>
      </c>
      <c r="P39" s="21">
        <v>2018</v>
      </c>
      <c r="Q39" s="8" t="s">
        <v>517</v>
      </c>
      <c r="R39" s="32">
        <v>52819</v>
      </c>
      <c r="S39" s="21">
        <f t="shared" si="1"/>
        <v>8</v>
      </c>
      <c r="T39" s="8" t="s">
        <v>1989</v>
      </c>
      <c r="U39" s="8" t="s">
        <v>1197</v>
      </c>
      <c r="V39" s="87" t="str">
        <f>HYPERLINK("https://www.ejacket.nsf.gov/ej/showProposal.do?ID="&amp;ckSplitsTable[[#This Row],[prop_id]],"eJ")</f>
        <v>eJ</v>
      </c>
      <c r="W39" s="8" t="s">
        <v>742</v>
      </c>
      <c r="X39" s="8" t="s">
        <v>2175</v>
      </c>
      <c r="Y39" s="8" t="s">
        <v>2176</v>
      </c>
      <c r="Z39" s="8" t="s">
        <v>2177</v>
      </c>
      <c r="AA39" s="8" t="s">
        <v>2178</v>
      </c>
      <c r="AB39" s="87" t="str">
        <f>HYPERLINK("mailto:"&amp;ckSplitsTable[[#This Row],[email]]&amp;"&amp;subject=Your NSF Proposal:  "&amp;ckSplitsTable[[#This Row],[prop_id]],ckSplitsTable[[#This Row],[email]])</f>
        <v>hanliu@princeton.edu</v>
      </c>
      <c r="AC39" s="8" t="s">
        <v>2180</v>
      </c>
      <c r="AD39" s="8" t="s">
        <v>1968</v>
      </c>
      <c r="AE39" s="8" t="s">
        <v>1968</v>
      </c>
      <c r="AF39" s="8" t="s">
        <v>2175</v>
      </c>
      <c r="AG39" s="8" t="s">
        <v>1977</v>
      </c>
      <c r="AH39" s="8" t="s">
        <v>2179</v>
      </c>
    </row>
    <row r="40" spans="1:34">
      <c r="A40" s="30">
        <v>42936.693009259259</v>
      </c>
      <c r="B40" s="30">
        <v>42809.44027777778</v>
      </c>
      <c r="C40" t="s">
        <v>1967</v>
      </c>
      <c r="D40" t="s">
        <v>1965</v>
      </c>
      <c r="E40" s="8" t="s">
        <v>94</v>
      </c>
      <c r="F40" s="8" t="s">
        <v>94</v>
      </c>
      <c r="G40" t="s">
        <v>741</v>
      </c>
      <c r="H40" t="s">
        <v>741</v>
      </c>
      <c r="I40" t="s">
        <v>901</v>
      </c>
      <c r="J40" t="s">
        <v>901</v>
      </c>
      <c r="K40" t="s">
        <v>540</v>
      </c>
      <c r="L40" t="s">
        <v>540</v>
      </c>
      <c r="M40" t="s">
        <v>1974</v>
      </c>
      <c r="N40" s="8" t="s">
        <v>170</v>
      </c>
      <c r="O40" s="8" t="s">
        <v>897</v>
      </c>
      <c r="P40" s="21">
        <v>2019</v>
      </c>
      <c r="Q40" s="8" t="s">
        <v>898</v>
      </c>
      <c r="R40" s="32">
        <v>51643</v>
      </c>
      <c r="S40" s="21">
        <f t="shared" si="1"/>
        <v>8</v>
      </c>
      <c r="T40" s="8" t="s">
        <v>1989</v>
      </c>
      <c r="U40" s="8" t="s">
        <v>1197</v>
      </c>
      <c r="V40" s="87" t="str">
        <f>HYPERLINK("https://www.ejacket.nsf.gov/ej/showProposal.do?ID="&amp;ckSplitsTable[[#This Row],[prop_id]],"eJ")</f>
        <v>eJ</v>
      </c>
      <c r="W40" s="8" t="s">
        <v>742</v>
      </c>
      <c r="X40" s="8" t="s">
        <v>2175</v>
      </c>
      <c r="Y40" s="8" t="s">
        <v>2176</v>
      </c>
      <c r="Z40" s="8" t="s">
        <v>2177</v>
      </c>
      <c r="AA40" s="8" t="s">
        <v>2178</v>
      </c>
      <c r="AB40" s="87" t="str">
        <f>HYPERLINK("mailto:"&amp;ckSplitsTable[[#This Row],[email]]&amp;"&amp;subject=Your NSF Proposal:  "&amp;ckSplitsTable[[#This Row],[prop_id]],ckSplitsTable[[#This Row],[email]])</f>
        <v>hanliu@princeton.edu</v>
      </c>
      <c r="AC40" s="8" t="s">
        <v>2180</v>
      </c>
      <c r="AD40" s="8" t="s">
        <v>1968</v>
      </c>
      <c r="AE40" s="8" t="s">
        <v>1968</v>
      </c>
      <c r="AF40" s="8" t="s">
        <v>2175</v>
      </c>
      <c r="AG40" s="8" t="s">
        <v>1977</v>
      </c>
      <c r="AH40" s="8" t="s">
        <v>2179</v>
      </c>
    </row>
    <row r="41" spans="1:34">
      <c r="A41" s="30">
        <v>42936.693009259259</v>
      </c>
      <c r="B41" s="30">
        <v>42809.44027777778</v>
      </c>
      <c r="C41" t="s">
        <v>1967</v>
      </c>
      <c r="D41" t="s">
        <v>1965</v>
      </c>
      <c r="E41" s="8" t="s">
        <v>94</v>
      </c>
      <c r="F41" s="8" t="s">
        <v>94</v>
      </c>
      <c r="G41" t="s">
        <v>741</v>
      </c>
      <c r="H41" t="s">
        <v>2735</v>
      </c>
      <c r="I41" t="s">
        <v>901</v>
      </c>
      <c r="J41" t="s">
        <v>901</v>
      </c>
      <c r="K41" t="s">
        <v>540</v>
      </c>
      <c r="L41" t="s">
        <v>942</v>
      </c>
      <c r="M41" t="s">
        <v>1974</v>
      </c>
      <c r="N41" s="8" t="s">
        <v>170</v>
      </c>
      <c r="O41" s="8" t="s">
        <v>897</v>
      </c>
      <c r="P41" s="21">
        <v>2019</v>
      </c>
      <c r="Q41" s="8" t="s">
        <v>517</v>
      </c>
      <c r="R41" s="32">
        <v>51642</v>
      </c>
      <c r="S41" s="21">
        <f t="shared" si="1"/>
        <v>8</v>
      </c>
      <c r="T41" s="8" t="s">
        <v>1989</v>
      </c>
      <c r="U41" s="8" t="s">
        <v>1197</v>
      </c>
      <c r="V41" s="87" t="str">
        <f>HYPERLINK("https://www.ejacket.nsf.gov/ej/showProposal.do?ID="&amp;ckSplitsTable[[#This Row],[prop_id]],"eJ")</f>
        <v>eJ</v>
      </c>
      <c r="W41" s="8" t="s">
        <v>742</v>
      </c>
      <c r="X41" s="8" t="s">
        <v>2175</v>
      </c>
      <c r="Y41" s="8" t="s">
        <v>2176</v>
      </c>
      <c r="Z41" s="8" t="s">
        <v>2177</v>
      </c>
      <c r="AA41" s="8" t="s">
        <v>2178</v>
      </c>
      <c r="AB41" s="87" t="str">
        <f>HYPERLINK("mailto:"&amp;ckSplitsTable[[#This Row],[email]]&amp;"&amp;subject=Your NSF Proposal:  "&amp;ckSplitsTable[[#This Row],[prop_id]],ckSplitsTable[[#This Row],[email]])</f>
        <v>hanliu@princeton.edu</v>
      </c>
      <c r="AC41" s="8" t="s">
        <v>2180</v>
      </c>
      <c r="AD41" s="8" t="s">
        <v>1968</v>
      </c>
      <c r="AE41" s="8" t="s">
        <v>1968</v>
      </c>
      <c r="AF41" s="8" t="s">
        <v>2175</v>
      </c>
      <c r="AG41" s="8" t="s">
        <v>1977</v>
      </c>
      <c r="AH41" s="8" t="s">
        <v>2179</v>
      </c>
    </row>
    <row r="42" spans="1:34">
      <c r="A42" s="30">
        <v>42936.700601851851</v>
      </c>
      <c r="B42" s="30">
        <v>42809.555555555555</v>
      </c>
      <c r="C42" t="s">
        <v>1967</v>
      </c>
      <c r="D42" t="s">
        <v>1965</v>
      </c>
      <c r="E42" s="8" t="s">
        <v>94</v>
      </c>
      <c r="F42" s="8" t="s">
        <v>94</v>
      </c>
      <c r="G42" t="s">
        <v>741</v>
      </c>
      <c r="H42" t="s">
        <v>741</v>
      </c>
      <c r="I42" t="s">
        <v>901</v>
      </c>
      <c r="J42" t="s">
        <v>901</v>
      </c>
      <c r="K42" t="s">
        <v>540</v>
      </c>
      <c r="L42" t="s">
        <v>540</v>
      </c>
      <c r="M42" t="s">
        <v>1974</v>
      </c>
      <c r="N42" s="8" t="s">
        <v>170</v>
      </c>
      <c r="O42" s="8" t="s">
        <v>897</v>
      </c>
      <c r="P42" s="21">
        <v>2017</v>
      </c>
      <c r="Q42" s="8" t="s">
        <v>898</v>
      </c>
      <c r="R42" s="32">
        <v>46821</v>
      </c>
      <c r="S42" s="21">
        <f t="shared" si="1"/>
        <v>9</v>
      </c>
      <c r="T42" s="8" t="s">
        <v>1989</v>
      </c>
      <c r="U42" s="8" t="s">
        <v>1197</v>
      </c>
      <c r="V42" s="87" t="str">
        <f>HYPERLINK("https://www.ejacket.nsf.gov/ej/showProposal.do?ID="&amp;ckSplitsTable[[#This Row],[prop_id]],"eJ")</f>
        <v>eJ</v>
      </c>
      <c r="W42" s="8" t="s">
        <v>742</v>
      </c>
      <c r="X42" s="8" t="s">
        <v>2181</v>
      </c>
      <c r="Y42" s="8" t="s">
        <v>618</v>
      </c>
      <c r="Z42" s="8" t="s">
        <v>769</v>
      </c>
      <c r="AA42" s="8" t="s">
        <v>770</v>
      </c>
      <c r="AB42" s="87" t="str">
        <f>HYPERLINK("mailto:"&amp;ckSplitsTable[[#This Row],[email]]&amp;"&amp;subject=Your NSF Proposal:  "&amp;ckSplitsTable[[#This Row],[prop_id]],ckSplitsTable[[#This Row],[email]])</f>
        <v>francesco@cs.stonybrook.edu</v>
      </c>
      <c r="AC42" s="8" t="s">
        <v>773</v>
      </c>
      <c r="AD42" s="8" t="s">
        <v>1968</v>
      </c>
      <c r="AE42" s="8" t="s">
        <v>1968</v>
      </c>
      <c r="AF42" s="8" t="s">
        <v>2181</v>
      </c>
      <c r="AG42" s="8" t="s">
        <v>1977</v>
      </c>
      <c r="AH42" s="8" t="s">
        <v>2173</v>
      </c>
    </row>
    <row r="43" spans="1:34">
      <c r="A43" s="30">
        <v>42936.700601851851</v>
      </c>
      <c r="B43" s="30">
        <v>42809.555555555555</v>
      </c>
      <c r="C43" t="s">
        <v>1967</v>
      </c>
      <c r="D43" t="s">
        <v>1965</v>
      </c>
      <c r="E43" s="8" t="s">
        <v>94</v>
      </c>
      <c r="F43" s="8" t="s">
        <v>94</v>
      </c>
      <c r="G43" t="s">
        <v>741</v>
      </c>
      <c r="H43" t="s">
        <v>2735</v>
      </c>
      <c r="I43" t="s">
        <v>901</v>
      </c>
      <c r="J43" t="s">
        <v>901</v>
      </c>
      <c r="K43" t="s">
        <v>540</v>
      </c>
      <c r="L43" t="s">
        <v>942</v>
      </c>
      <c r="M43" t="s">
        <v>1974</v>
      </c>
      <c r="N43" s="8" t="s">
        <v>170</v>
      </c>
      <c r="O43" s="8" t="s">
        <v>897</v>
      </c>
      <c r="P43" s="21">
        <v>2017</v>
      </c>
      <c r="Q43" s="8" t="s">
        <v>517</v>
      </c>
      <c r="R43" s="32">
        <v>46820</v>
      </c>
      <c r="S43" s="21">
        <f t="shared" si="1"/>
        <v>9</v>
      </c>
      <c r="T43" s="8" t="s">
        <v>1989</v>
      </c>
      <c r="U43" s="8" t="s">
        <v>1197</v>
      </c>
      <c r="V43" s="87" t="str">
        <f>HYPERLINK("https://www.ejacket.nsf.gov/ej/showProposal.do?ID="&amp;ckSplitsTable[[#This Row],[prop_id]],"eJ")</f>
        <v>eJ</v>
      </c>
      <c r="W43" s="8" t="s">
        <v>742</v>
      </c>
      <c r="X43" s="8" t="s">
        <v>2181</v>
      </c>
      <c r="Y43" s="8" t="s">
        <v>618</v>
      </c>
      <c r="Z43" s="8" t="s">
        <v>769</v>
      </c>
      <c r="AA43" s="8" t="s">
        <v>770</v>
      </c>
      <c r="AB43" s="87" t="str">
        <f>HYPERLINK("mailto:"&amp;ckSplitsTable[[#This Row],[email]]&amp;"&amp;subject=Your NSF Proposal:  "&amp;ckSplitsTable[[#This Row],[prop_id]],ckSplitsTable[[#This Row],[email]])</f>
        <v>francesco@cs.stonybrook.edu</v>
      </c>
      <c r="AC43" s="8" t="s">
        <v>773</v>
      </c>
      <c r="AD43" s="8" t="s">
        <v>1968</v>
      </c>
      <c r="AE43" s="8" t="s">
        <v>1968</v>
      </c>
      <c r="AF43" s="8" t="s">
        <v>2181</v>
      </c>
      <c r="AG43" s="8" t="s">
        <v>1977</v>
      </c>
      <c r="AH43" s="8" t="s">
        <v>2173</v>
      </c>
    </row>
    <row r="44" spans="1:34">
      <c r="A44" s="30">
        <v>42936.700601851851</v>
      </c>
      <c r="B44" s="30">
        <v>42809.555555555555</v>
      </c>
      <c r="C44" t="s">
        <v>1967</v>
      </c>
      <c r="D44" t="s">
        <v>1965</v>
      </c>
      <c r="E44" s="8" t="s">
        <v>94</v>
      </c>
      <c r="F44" s="8" t="s">
        <v>94</v>
      </c>
      <c r="G44" t="s">
        <v>741</v>
      </c>
      <c r="H44" t="s">
        <v>741</v>
      </c>
      <c r="I44" t="s">
        <v>901</v>
      </c>
      <c r="J44" t="s">
        <v>901</v>
      </c>
      <c r="K44" t="s">
        <v>540</v>
      </c>
      <c r="L44" t="s">
        <v>540</v>
      </c>
      <c r="M44" t="s">
        <v>1974</v>
      </c>
      <c r="N44" s="8" t="s">
        <v>170</v>
      </c>
      <c r="O44" s="8" t="s">
        <v>897</v>
      </c>
      <c r="P44" s="21">
        <v>2018</v>
      </c>
      <c r="Q44" s="8" t="s">
        <v>898</v>
      </c>
      <c r="R44" s="32">
        <v>48115</v>
      </c>
      <c r="S44" s="21">
        <f t="shared" si="1"/>
        <v>9</v>
      </c>
      <c r="T44" s="8" t="s">
        <v>1989</v>
      </c>
      <c r="U44" s="8" t="s">
        <v>1197</v>
      </c>
      <c r="V44" s="87" t="str">
        <f>HYPERLINK("https://www.ejacket.nsf.gov/ej/showProposal.do?ID="&amp;ckSplitsTable[[#This Row],[prop_id]],"eJ")</f>
        <v>eJ</v>
      </c>
      <c r="W44" s="8" t="s">
        <v>742</v>
      </c>
      <c r="X44" s="8" t="s">
        <v>2181</v>
      </c>
      <c r="Y44" s="8" t="s">
        <v>618</v>
      </c>
      <c r="Z44" s="8" t="s">
        <v>769</v>
      </c>
      <c r="AA44" s="8" t="s">
        <v>770</v>
      </c>
      <c r="AB44" s="87" t="str">
        <f>HYPERLINK("mailto:"&amp;ckSplitsTable[[#This Row],[email]]&amp;"&amp;subject=Your NSF Proposal:  "&amp;ckSplitsTable[[#This Row],[prop_id]],ckSplitsTable[[#This Row],[email]])</f>
        <v>francesco@cs.stonybrook.edu</v>
      </c>
      <c r="AC44" s="8" t="s">
        <v>773</v>
      </c>
      <c r="AD44" s="8" t="s">
        <v>1968</v>
      </c>
      <c r="AE44" s="8" t="s">
        <v>1968</v>
      </c>
      <c r="AF44" s="8" t="s">
        <v>2181</v>
      </c>
      <c r="AG44" s="8" t="s">
        <v>1977</v>
      </c>
      <c r="AH44" s="8" t="s">
        <v>2173</v>
      </c>
    </row>
    <row r="45" spans="1:34">
      <c r="A45" s="30">
        <v>42936.700601851851</v>
      </c>
      <c r="B45" s="30">
        <v>42809.555555555555</v>
      </c>
      <c r="C45" t="s">
        <v>1967</v>
      </c>
      <c r="D45" t="s">
        <v>1965</v>
      </c>
      <c r="E45" s="8" t="s">
        <v>94</v>
      </c>
      <c r="F45" s="8" t="s">
        <v>94</v>
      </c>
      <c r="G45" t="s">
        <v>741</v>
      </c>
      <c r="H45" t="s">
        <v>2735</v>
      </c>
      <c r="I45" t="s">
        <v>901</v>
      </c>
      <c r="J45" t="s">
        <v>901</v>
      </c>
      <c r="K45" t="s">
        <v>540</v>
      </c>
      <c r="L45" t="s">
        <v>942</v>
      </c>
      <c r="M45" t="s">
        <v>1974</v>
      </c>
      <c r="N45" s="8" t="s">
        <v>170</v>
      </c>
      <c r="O45" s="8" t="s">
        <v>897</v>
      </c>
      <c r="P45" s="21">
        <v>2018</v>
      </c>
      <c r="Q45" s="8" t="s">
        <v>517</v>
      </c>
      <c r="R45" s="32">
        <v>48116</v>
      </c>
      <c r="S45" s="21">
        <f t="shared" si="1"/>
        <v>9</v>
      </c>
      <c r="T45" s="8" t="s">
        <v>1989</v>
      </c>
      <c r="U45" s="8" t="s">
        <v>1197</v>
      </c>
      <c r="V45" s="87" t="str">
        <f>HYPERLINK("https://www.ejacket.nsf.gov/ej/showProposal.do?ID="&amp;ckSplitsTable[[#This Row],[prop_id]],"eJ")</f>
        <v>eJ</v>
      </c>
      <c r="W45" s="8" t="s">
        <v>742</v>
      </c>
      <c r="X45" s="8" t="s">
        <v>2181</v>
      </c>
      <c r="Y45" s="8" t="s">
        <v>618</v>
      </c>
      <c r="Z45" s="8" t="s">
        <v>769</v>
      </c>
      <c r="AA45" s="8" t="s">
        <v>770</v>
      </c>
      <c r="AB45" s="87" t="str">
        <f>HYPERLINK("mailto:"&amp;ckSplitsTable[[#This Row],[email]]&amp;"&amp;subject=Your NSF Proposal:  "&amp;ckSplitsTable[[#This Row],[prop_id]],ckSplitsTable[[#This Row],[email]])</f>
        <v>francesco@cs.stonybrook.edu</v>
      </c>
      <c r="AC45" s="8" t="s">
        <v>773</v>
      </c>
      <c r="AD45" s="8" t="s">
        <v>1968</v>
      </c>
      <c r="AE45" s="8" t="s">
        <v>1968</v>
      </c>
      <c r="AF45" s="8" t="s">
        <v>2181</v>
      </c>
      <c r="AG45" s="8" t="s">
        <v>1977</v>
      </c>
      <c r="AH45" s="8" t="s">
        <v>2173</v>
      </c>
    </row>
    <row r="46" spans="1:34">
      <c r="A46" s="30">
        <v>42936.700601851851</v>
      </c>
      <c r="B46" s="30">
        <v>42809.555555555555</v>
      </c>
      <c r="C46" t="s">
        <v>1967</v>
      </c>
      <c r="D46" t="s">
        <v>1965</v>
      </c>
      <c r="E46" s="8" t="s">
        <v>94</v>
      </c>
      <c r="F46" s="8" t="s">
        <v>94</v>
      </c>
      <c r="G46" t="s">
        <v>741</v>
      </c>
      <c r="H46" t="s">
        <v>741</v>
      </c>
      <c r="I46" t="s">
        <v>901</v>
      </c>
      <c r="J46" t="s">
        <v>901</v>
      </c>
      <c r="K46" t="s">
        <v>540</v>
      </c>
      <c r="L46" t="s">
        <v>540</v>
      </c>
      <c r="M46" t="s">
        <v>1974</v>
      </c>
      <c r="N46" s="8" t="s">
        <v>170</v>
      </c>
      <c r="O46" s="8" t="s">
        <v>897</v>
      </c>
      <c r="P46" s="21">
        <v>2019</v>
      </c>
      <c r="Q46" s="8" t="s">
        <v>898</v>
      </c>
      <c r="R46" s="32">
        <v>49305</v>
      </c>
      <c r="S46" s="21">
        <f t="shared" si="1"/>
        <v>9</v>
      </c>
      <c r="T46" s="8" t="s">
        <v>1989</v>
      </c>
      <c r="U46" s="8" t="s">
        <v>1197</v>
      </c>
      <c r="V46" s="87" t="str">
        <f>HYPERLINK("https://www.ejacket.nsf.gov/ej/showProposal.do?ID="&amp;ckSplitsTable[[#This Row],[prop_id]],"eJ")</f>
        <v>eJ</v>
      </c>
      <c r="W46" s="8" t="s">
        <v>742</v>
      </c>
      <c r="X46" s="8" t="s">
        <v>2181</v>
      </c>
      <c r="Y46" s="8" t="s">
        <v>618</v>
      </c>
      <c r="Z46" s="8" t="s">
        <v>769</v>
      </c>
      <c r="AA46" s="8" t="s">
        <v>770</v>
      </c>
      <c r="AB46" s="87" t="str">
        <f>HYPERLINK("mailto:"&amp;ckSplitsTable[[#This Row],[email]]&amp;"&amp;subject=Your NSF Proposal:  "&amp;ckSplitsTable[[#This Row],[prop_id]],ckSplitsTable[[#This Row],[email]])</f>
        <v>francesco@cs.stonybrook.edu</v>
      </c>
      <c r="AC46" s="8" t="s">
        <v>773</v>
      </c>
      <c r="AD46" s="8" t="s">
        <v>1968</v>
      </c>
      <c r="AE46" s="8" t="s">
        <v>1968</v>
      </c>
      <c r="AF46" s="8" t="s">
        <v>2181</v>
      </c>
      <c r="AG46" s="8" t="s">
        <v>1977</v>
      </c>
      <c r="AH46" s="8" t="s">
        <v>2173</v>
      </c>
    </row>
    <row r="47" spans="1:34">
      <c r="A47" s="30">
        <v>42936.700601851851</v>
      </c>
      <c r="B47" s="30">
        <v>42809.555555555555</v>
      </c>
      <c r="C47" t="s">
        <v>1967</v>
      </c>
      <c r="D47" t="s">
        <v>1965</v>
      </c>
      <c r="E47" s="8" t="s">
        <v>94</v>
      </c>
      <c r="F47" s="8" t="s">
        <v>94</v>
      </c>
      <c r="G47" t="s">
        <v>741</v>
      </c>
      <c r="H47" t="s">
        <v>2735</v>
      </c>
      <c r="I47" t="s">
        <v>901</v>
      </c>
      <c r="J47" t="s">
        <v>901</v>
      </c>
      <c r="K47" t="s">
        <v>540</v>
      </c>
      <c r="L47" t="s">
        <v>942</v>
      </c>
      <c r="M47" t="s">
        <v>1974</v>
      </c>
      <c r="N47" s="8" t="s">
        <v>170</v>
      </c>
      <c r="O47" s="8" t="s">
        <v>897</v>
      </c>
      <c r="P47" s="21">
        <v>2019</v>
      </c>
      <c r="Q47" s="8" t="s">
        <v>517</v>
      </c>
      <c r="R47" s="32">
        <v>49305</v>
      </c>
      <c r="S47" s="21">
        <f t="shared" si="1"/>
        <v>9</v>
      </c>
      <c r="T47" s="8" t="s">
        <v>1989</v>
      </c>
      <c r="U47" s="8" t="s">
        <v>1197</v>
      </c>
      <c r="V47" s="87" t="str">
        <f>HYPERLINK("https://www.ejacket.nsf.gov/ej/showProposal.do?ID="&amp;ckSplitsTable[[#This Row],[prop_id]],"eJ")</f>
        <v>eJ</v>
      </c>
      <c r="W47" s="8" t="s">
        <v>742</v>
      </c>
      <c r="X47" s="8" t="s">
        <v>2181</v>
      </c>
      <c r="Y47" s="8" t="s">
        <v>618</v>
      </c>
      <c r="Z47" s="8" t="s">
        <v>769</v>
      </c>
      <c r="AA47" s="8" t="s">
        <v>770</v>
      </c>
      <c r="AB47" s="87" t="str">
        <f>HYPERLINK("mailto:"&amp;ckSplitsTable[[#This Row],[email]]&amp;"&amp;subject=Your NSF Proposal:  "&amp;ckSplitsTable[[#This Row],[prop_id]],ckSplitsTable[[#This Row],[email]])</f>
        <v>francesco@cs.stonybrook.edu</v>
      </c>
      <c r="AC47" s="8" t="s">
        <v>773</v>
      </c>
      <c r="AD47" s="8" t="s">
        <v>1968</v>
      </c>
      <c r="AE47" s="8" t="s">
        <v>1968</v>
      </c>
      <c r="AF47" s="8" t="s">
        <v>2181</v>
      </c>
      <c r="AG47" s="8" t="s">
        <v>1977</v>
      </c>
      <c r="AH47" s="8" t="s">
        <v>2173</v>
      </c>
    </row>
    <row r="48" spans="1:34">
      <c r="A48" s="30">
        <v>42933.413645833331</v>
      </c>
      <c r="B48" s="30">
        <v>42809.683333333334</v>
      </c>
      <c r="C48" t="s">
        <v>1967</v>
      </c>
      <c r="D48" t="s">
        <v>1965</v>
      </c>
      <c r="E48" s="8" t="s">
        <v>94</v>
      </c>
      <c r="F48" s="8" t="s">
        <v>94</v>
      </c>
      <c r="G48" t="s">
        <v>741</v>
      </c>
      <c r="H48" t="s">
        <v>2742</v>
      </c>
      <c r="I48" t="s">
        <v>901</v>
      </c>
      <c r="J48" t="s">
        <v>2743</v>
      </c>
      <c r="K48" t="s">
        <v>543</v>
      </c>
      <c r="L48" t="s">
        <v>2744</v>
      </c>
      <c r="M48" t="s">
        <v>1974</v>
      </c>
      <c r="N48" s="8" t="s">
        <v>170</v>
      </c>
      <c r="O48" s="8" t="s">
        <v>2709</v>
      </c>
      <c r="P48" s="21">
        <v>2017</v>
      </c>
      <c r="Q48" s="8" t="s">
        <v>898</v>
      </c>
      <c r="R48" s="32">
        <v>400033</v>
      </c>
      <c r="S48" s="21">
        <f t="shared" si="1"/>
        <v>10</v>
      </c>
      <c r="T48" s="8" t="s">
        <v>96</v>
      </c>
      <c r="U48" s="8" t="s">
        <v>1320</v>
      </c>
      <c r="V48" s="87" t="str">
        <f>HYPERLINK("https://www.ejacket.nsf.gov/ej/showProposal.do?ID="&amp;ckSplitsTable[[#This Row],[prop_id]],"eJ")</f>
        <v>eJ</v>
      </c>
      <c r="W48" s="8" t="s">
        <v>742</v>
      </c>
      <c r="X48" s="8" t="s">
        <v>1320</v>
      </c>
      <c r="Y48" s="8" t="s">
        <v>1321</v>
      </c>
      <c r="Z48" s="8" t="s">
        <v>2256</v>
      </c>
      <c r="AA48" s="8" t="s">
        <v>2257</v>
      </c>
      <c r="AB48" s="87" t="str">
        <f>HYPERLINK("mailto:"&amp;ckSplitsTable[[#This Row],[email]]&amp;"&amp;subject=Your NSF Proposal:  "&amp;ckSplitsTable[[#This Row],[prop_id]],ckSplitsTable[[#This Row],[email]])</f>
        <v>kilianweinberger@cornell.edu</v>
      </c>
      <c r="AC48" s="8" t="s">
        <v>2260</v>
      </c>
      <c r="AD48" s="8" t="s">
        <v>1968</v>
      </c>
      <c r="AE48" s="8" t="s">
        <v>2741</v>
      </c>
      <c r="AF48" s="8" t="s">
        <v>1320</v>
      </c>
      <c r="AG48" s="8" t="s">
        <v>1977</v>
      </c>
      <c r="AH48" s="8" t="s">
        <v>2259</v>
      </c>
    </row>
    <row r="49" spans="1:34">
      <c r="A49" s="30">
        <v>42933.413645833331</v>
      </c>
      <c r="B49" s="30">
        <v>42809.683333333334</v>
      </c>
      <c r="C49" t="s">
        <v>1967</v>
      </c>
      <c r="D49" t="s">
        <v>1965</v>
      </c>
      <c r="E49" s="8" t="s">
        <v>94</v>
      </c>
      <c r="F49" s="8" t="s">
        <v>94</v>
      </c>
      <c r="G49" t="s">
        <v>741</v>
      </c>
      <c r="H49" t="s">
        <v>741</v>
      </c>
      <c r="I49" t="s">
        <v>901</v>
      </c>
      <c r="J49" t="s">
        <v>901</v>
      </c>
      <c r="K49" t="s">
        <v>543</v>
      </c>
      <c r="L49" t="s">
        <v>543</v>
      </c>
      <c r="M49" t="s">
        <v>1974</v>
      </c>
      <c r="N49" s="8" t="s">
        <v>170</v>
      </c>
      <c r="O49" s="8" t="s">
        <v>2709</v>
      </c>
      <c r="P49" s="21">
        <v>2017</v>
      </c>
      <c r="Q49" s="8" t="s">
        <v>517</v>
      </c>
      <c r="R49" s="32">
        <v>298311</v>
      </c>
      <c r="S49" s="21">
        <f t="shared" si="1"/>
        <v>10</v>
      </c>
      <c r="T49" s="8" t="s">
        <v>96</v>
      </c>
      <c r="U49" s="8" t="s">
        <v>1320</v>
      </c>
      <c r="V49" s="87" t="str">
        <f>HYPERLINK("https://www.ejacket.nsf.gov/ej/showProposal.do?ID="&amp;ckSplitsTable[[#This Row],[prop_id]],"eJ")</f>
        <v>eJ</v>
      </c>
      <c r="W49" s="8" t="s">
        <v>742</v>
      </c>
      <c r="X49" s="8" t="s">
        <v>1320</v>
      </c>
      <c r="Y49" s="8" t="s">
        <v>1321</v>
      </c>
      <c r="Z49" s="8" t="s">
        <v>2256</v>
      </c>
      <c r="AA49" s="8" t="s">
        <v>2257</v>
      </c>
      <c r="AB49" s="87" t="str">
        <f>HYPERLINK("mailto:"&amp;ckSplitsTable[[#This Row],[email]]&amp;"&amp;subject=Your NSF Proposal:  "&amp;ckSplitsTable[[#This Row],[prop_id]],ckSplitsTable[[#This Row],[email]])</f>
        <v>kilianweinberger@cornell.edu</v>
      </c>
      <c r="AC49" s="8" t="s">
        <v>2260</v>
      </c>
      <c r="AD49" s="8" t="s">
        <v>1968</v>
      </c>
      <c r="AE49" s="8" t="s">
        <v>2741</v>
      </c>
      <c r="AF49" s="8" t="s">
        <v>1320</v>
      </c>
      <c r="AG49" s="8" t="s">
        <v>1977</v>
      </c>
      <c r="AH49" s="8" t="s">
        <v>2259</v>
      </c>
    </row>
    <row r="50" spans="1:34">
      <c r="A50" s="30">
        <v>42933.413645833331</v>
      </c>
      <c r="B50" s="30">
        <v>42809.683333333334</v>
      </c>
      <c r="C50" t="s">
        <v>1967</v>
      </c>
      <c r="D50" t="s">
        <v>1965</v>
      </c>
      <c r="E50" s="8" t="s">
        <v>94</v>
      </c>
      <c r="F50" s="8" t="s">
        <v>94</v>
      </c>
      <c r="G50" t="s">
        <v>741</v>
      </c>
      <c r="H50" t="s">
        <v>2735</v>
      </c>
      <c r="I50" t="s">
        <v>901</v>
      </c>
      <c r="J50" t="s">
        <v>901</v>
      </c>
      <c r="K50" t="s">
        <v>543</v>
      </c>
      <c r="L50" t="s">
        <v>942</v>
      </c>
      <c r="M50" t="s">
        <v>1974</v>
      </c>
      <c r="N50" s="8" t="s">
        <v>170</v>
      </c>
      <c r="O50" s="8" t="s">
        <v>2709</v>
      </c>
      <c r="P50" s="21">
        <v>2017</v>
      </c>
      <c r="Q50" s="8" t="s">
        <v>2736</v>
      </c>
      <c r="R50" s="32">
        <v>298311</v>
      </c>
      <c r="S50" s="21">
        <f t="shared" si="1"/>
        <v>10</v>
      </c>
      <c r="T50" s="8" t="s">
        <v>96</v>
      </c>
      <c r="U50" s="8" t="s">
        <v>1320</v>
      </c>
      <c r="V50" s="87" t="str">
        <f>HYPERLINK("https://www.ejacket.nsf.gov/ej/showProposal.do?ID="&amp;ckSplitsTable[[#This Row],[prop_id]],"eJ")</f>
        <v>eJ</v>
      </c>
      <c r="W50" s="8" t="s">
        <v>742</v>
      </c>
      <c r="X50" s="8" t="s">
        <v>1320</v>
      </c>
      <c r="Y50" s="8" t="s">
        <v>1321</v>
      </c>
      <c r="Z50" s="8" t="s">
        <v>2256</v>
      </c>
      <c r="AA50" s="8" t="s">
        <v>2257</v>
      </c>
      <c r="AB50" s="87" t="str">
        <f>HYPERLINK("mailto:"&amp;ckSplitsTable[[#This Row],[email]]&amp;"&amp;subject=Your NSF Proposal:  "&amp;ckSplitsTable[[#This Row],[prop_id]],ckSplitsTable[[#This Row],[email]])</f>
        <v>kilianweinberger@cornell.edu</v>
      </c>
      <c r="AC50" s="8" t="s">
        <v>2260</v>
      </c>
      <c r="AD50" s="8" t="s">
        <v>1968</v>
      </c>
      <c r="AE50" s="8" t="s">
        <v>2741</v>
      </c>
      <c r="AF50" s="8" t="s">
        <v>1320</v>
      </c>
      <c r="AG50" s="8" t="s">
        <v>1977</v>
      </c>
      <c r="AH50" s="8" t="s">
        <v>2259</v>
      </c>
    </row>
    <row r="51" spans="1:34">
      <c r="A51" s="30">
        <v>42933.413645833331</v>
      </c>
      <c r="B51" s="30">
        <v>42809.683333333334</v>
      </c>
      <c r="C51" t="s">
        <v>1967</v>
      </c>
      <c r="D51" t="s">
        <v>1965</v>
      </c>
      <c r="E51" s="8" t="s">
        <v>94</v>
      </c>
      <c r="F51" s="8" t="s">
        <v>94</v>
      </c>
      <c r="G51" t="s">
        <v>741</v>
      </c>
      <c r="H51" t="s">
        <v>2737</v>
      </c>
      <c r="I51" t="s">
        <v>901</v>
      </c>
      <c r="J51" t="s">
        <v>2738</v>
      </c>
      <c r="K51" t="s">
        <v>543</v>
      </c>
      <c r="L51" t="s">
        <v>2739</v>
      </c>
      <c r="M51" t="s">
        <v>1974</v>
      </c>
      <c r="N51" s="8" t="s">
        <v>170</v>
      </c>
      <c r="O51" s="8" t="s">
        <v>2709</v>
      </c>
      <c r="P51" s="21">
        <v>2017</v>
      </c>
      <c r="Q51" s="8" t="s">
        <v>2740</v>
      </c>
      <c r="R51" s="32">
        <v>500000</v>
      </c>
      <c r="S51" s="21">
        <f t="shared" si="1"/>
        <v>10</v>
      </c>
      <c r="T51" s="8" t="s">
        <v>96</v>
      </c>
      <c r="U51" s="8" t="s">
        <v>1320</v>
      </c>
      <c r="V51" s="87" t="str">
        <f>HYPERLINK("https://www.ejacket.nsf.gov/ej/showProposal.do?ID="&amp;ckSplitsTable[[#This Row],[prop_id]],"eJ")</f>
        <v>eJ</v>
      </c>
      <c r="W51" s="8" t="s">
        <v>742</v>
      </c>
      <c r="X51" s="8" t="s">
        <v>1320</v>
      </c>
      <c r="Y51" s="8" t="s">
        <v>1321</v>
      </c>
      <c r="Z51" s="8" t="s">
        <v>2256</v>
      </c>
      <c r="AA51" s="8" t="s">
        <v>2257</v>
      </c>
      <c r="AB51" s="87" t="str">
        <f>HYPERLINK("mailto:"&amp;ckSplitsTable[[#This Row],[email]]&amp;"&amp;subject=Your NSF Proposal:  "&amp;ckSplitsTable[[#This Row],[prop_id]],ckSplitsTable[[#This Row],[email]])</f>
        <v>kilianweinberger@cornell.edu</v>
      </c>
      <c r="AC51" s="8" t="s">
        <v>2260</v>
      </c>
      <c r="AD51" s="8" t="s">
        <v>1968</v>
      </c>
      <c r="AE51" s="8" t="s">
        <v>2741</v>
      </c>
      <c r="AF51" s="8" t="s">
        <v>1320</v>
      </c>
      <c r="AG51" s="8" t="s">
        <v>1977</v>
      </c>
      <c r="AH51" s="8" t="s">
        <v>2259</v>
      </c>
    </row>
    <row r="52" spans="1:34">
      <c r="A52" s="30">
        <v>42930.561608796299</v>
      </c>
      <c r="B52" s="30">
        <v>42809.702777777777</v>
      </c>
      <c r="C52" t="s">
        <v>1967</v>
      </c>
      <c r="D52" t="s">
        <v>1965</v>
      </c>
      <c r="E52" s="8" t="s">
        <v>94</v>
      </c>
      <c r="F52" s="8" t="s">
        <v>94</v>
      </c>
      <c r="G52" t="s">
        <v>741</v>
      </c>
      <c r="H52" t="s">
        <v>2737</v>
      </c>
      <c r="I52" t="s">
        <v>901</v>
      </c>
      <c r="J52" t="s">
        <v>2738</v>
      </c>
      <c r="K52" t="s">
        <v>942</v>
      </c>
      <c r="L52" t="s">
        <v>2739</v>
      </c>
      <c r="M52" t="s">
        <v>1974</v>
      </c>
      <c r="N52" s="8" t="s">
        <v>170</v>
      </c>
      <c r="O52" s="8" t="s">
        <v>897</v>
      </c>
      <c r="P52" s="21">
        <v>2017</v>
      </c>
      <c r="Q52" s="8" t="s">
        <v>898</v>
      </c>
      <c r="R52" s="32">
        <v>500000</v>
      </c>
      <c r="S52" s="21">
        <f t="shared" si="1"/>
        <v>11</v>
      </c>
      <c r="T52" s="8" t="s">
        <v>96</v>
      </c>
      <c r="U52" s="8" t="s">
        <v>1372</v>
      </c>
      <c r="V52" s="87" t="str">
        <f>HYPERLINK("https://www.ejacket.nsf.gov/ej/showProposal.do?ID="&amp;ckSplitsTable[[#This Row],[prop_id]],"eJ")</f>
        <v>eJ</v>
      </c>
      <c r="W52" s="8" t="s">
        <v>742</v>
      </c>
      <c r="X52" s="8" t="s">
        <v>1372</v>
      </c>
      <c r="Y52" s="8" t="s">
        <v>1053</v>
      </c>
      <c r="Z52" s="8" t="s">
        <v>2095</v>
      </c>
      <c r="AA52" s="8" t="s">
        <v>2101</v>
      </c>
      <c r="AB52" s="87" t="str">
        <f>HYPERLINK("mailto:"&amp;ckSplitsTable[[#This Row],[email]]&amp;"&amp;subject=Your NSF Proposal:  "&amp;ckSplitsTable[[#This Row],[prop_id]],ckSplitsTable[[#This Row],[email]])</f>
        <v>jw2966@columbia.edu</v>
      </c>
      <c r="AC52" s="8" t="s">
        <v>2281</v>
      </c>
      <c r="AD52" s="8" t="s">
        <v>1968</v>
      </c>
      <c r="AE52" s="8" t="s">
        <v>1968</v>
      </c>
      <c r="AF52" s="8" t="s">
        <v>1372</v>
      </c>
      <c r="AG52" s="8" t="s">
        <v>1977</v>
      </c>
      <c r="AH52" s="8" t="s">
        <v>2280</v>
      </c>
    </row>
    <row r="53" spans="1:34">
      <c r="A53" s="30">
        <v>42930.561608796299</v>
      </c>
      <c r="B53" s="30">
        <v>42809.702777777777</v>
      </c>
      <c r="C53" t="s">
        <v>1967</v>
      </c>
      <c r="D53" t="s">
        <v>1965</v>
      </c>
      <c r="E53" s="8" t="s">
        <v>94</v>
      </c>
      <c r="F53" s="8" t="s">
        <v>94</v>
      </c>
      <c r="G53" t="s">
        <v>741</v>
      </c>
      <c r="H53" t="s">
        <v>2735</v>
      </c>
      <c r="I53" t="s">
        <v>901</v>
      </c>
      <c r="J53" t="s">
        <v>901</v>
      </c>
      <c r="K53" t="s">
        <v>942</v>
      </c>
      <c r="L53" t="s">
        <v>942</v>
      </c>
      <c r="M53" t="s">
        <v>1974</v>
      </c>
      <c r="N53" s="8" t="s">
        <v>170</v>
      </c>
      <c r="O53" s="8" t="s">
        <v>897</v>
      </c>
      <c r="P53" s="21">
        <v>2018</v>
      </c>
      <c r="Q53" s="8" t="s">
        <v>898</v>
      </c>
      <c r="R53" s="32">
        <v>250000</v>
      </c>
      <c r="S53" s="21">
        <f t="shared" si="1"/>
        <v>11</v>
      </c>
      <c r="T53" s="8" t="s">
        <v>96</v>
      </c>
      <c r="U53" s="8" t="s">
        <v>1372</v>
      </c>
      <c r="V53" s="87" t="str">
        <f>HYPERLINK("https://www.ejacket.nsf.gov/ej/showProposal.do?ID="&amp;ckSplitsTable[[#This Row],[prop_id]],"eJ")</f>
        <v>eJ</v>
      </c>
      <c r="W53" s="8" t="s">
        <v>742</v>
      </c>
      <c r="X53" s="8" t="s">
        <v>1372</v>
      </c>
      <c r="Y53" s="8" t="s">
        <v>1053</v>
      </c>
      <c r="Z53" s="8" t="s">
        <v>2095</v>
      </c>
      <c r="AA53" s="8" t="s">
        <v>2101</v>
      </c>
      <c r="AB53" s="87" t="str">
        <f>HYPERLINK("mailto:"&amp;ckSplitsTable[[#This Row],[email]]&amp;"&amp;subject=Your NSF Proposal:  "&amp;ckSplitsTable[[#This Row],[prop_id]],ckSplitsTable[[#This Row],[email]])</f>
        <v>jw2966@columbia.edu</v>
      </c>
      <c r="AC53" s="8" t="s">
        <v>2281</v>
      </c>
      <c r="AD53" s="8" t="s">
        <v>1968</v>
      </c>
      <c r="AE53" s="8" t="s">
        <v>1968</v>
      </c>
      <c r="AF53" s="8" t="s">
        <v>1372</v>
      </c>
      <c r="AG53" s="8" t="s">
        <v>1977</v>
      </c>
      <c r="AH53" s="8" t="s">
        <v>2280</v>
      </c>
    </row>
    <row r="54" spans="1:34">
      <c r="A54" s="30">
        <v>42930.561608796299</v>
      </c>
      <c r="B54" s="30">
        <v>42809.702777777777</v>
      </c>
      <c r="C54" t="s">
        <v>1967</v>
      </c>
      <c r="D54" t="s">
        <v>1965</v>
      </c>
      <c r="E54" s="8" t="s">
        <v>94</v>
      </c>
      <c r="F54" s="8" t="s">
        <v>94</v>
      </c>
      <c r="G54" t="s">
        <v>741</v>
      </c>
      <c r="H54" t="s">
        <v>2733</v>
      </c>
      <c r="I54" t="s">
        <v>901</v>
      </c>
      <c r="J54" t="s">
        <v>901</v>
      </c>
      <c r="K54" t="s">
        <v>942</v>
      </c>
      <c r="L54" t="s">
        <v>2734</v>
      </c>
      <c r="M54" t="s">
        <v>1974</v>
      </c>
      <c r="N54" s="8" t="s">
        <v>170</v>
      </c>
      <c r="O54" s="8" t="s">
        <v>897</v>
      </c>
      <c r="P54" s="21">
        <v>2018</v>
      </c>
      <c r="Q54" s="8" t="s">
        <v>517</v>
      </c>
      <c r="R54" s="32">
        <v>250000</v>
      </c>
      <c r="S54" s="21">
        <f t="shared" si="1"/>
        <v>11</v>
      </c>
      <c r="T54" s="8" t="s">
        <v>96</v>
      </c>
      <c r="U54" s="8" t="s">
        <v>1372</v>
      </c>
      <c r="V54" s="87" t="str">
        <f>HYPERLINK("https://www.ejacket.nsf.gov/ej/showProposal.do?ID="&amp;ckSplitsTable[[#This Row],[prop_id]],"eJ")</f>
        <v>eJ</v>
      </c>
      <c r="W54" s="8" t="s">
        <v>742</v>
      </c>
      <c r="X54" s="8" t="s">
        <v>1372</v>
      </c>
      <c r="Y54" s="8" t="s">
        <v>1053</v>
      </c>
      <c r="Z54" s="8" t="s">
        <v>2095</v>
      </c>
      <c r="AA54" s="8" t="s">
        <v>2101</v>
      </c>
      <c r="AB54" s="87" t="str">
        <f>HYPERLINK("mailto:"&amp;ckSplitsTable[[#This Row],[email]]&amp;"&amp;subject=Your NSF Proposal:  "&amp;ckSplitsTable[[#This Row],[prop_id]],ckSplitsTable[[#This Row],[email]])</f>
        <v>jw2966@columbia.edu</v>
      </c>
      <c r="AC54" s="8" t="s">
        <v>2281</v>
      </c>
      <c r="AD54" s="8" t="s">
        <v>1968</v>
      </c>
      <c r="AE54" s="8" t="s">
        <v>1968</v>
      </c>
      <c r="AF54" s="8" t="s">
        <v>1372</v>
      </c>
      <c r="AG54" s="8" t="s">
        <v>1977</v>
      </c>
      <c r="AH54" s="8" t="s">
        <v>2280</v>
      </c>
    </row>
    <row r="55" spans="1:34">
      <c r="A55" s="30">
        <v>42930.561608796299</v>
      </c>
      <c r="B55" s="30">
        <v>42809.702777777777</v>
      </c>
      <c r="C55" t="s">
        <v>1967</v>
      </c>
      <c r="D55" t="s">
        <v>1965</v>
      </c>
      <c r="E55" s="8" t="s">
        <v>94</v>
      </c>
      <c r="F55" s="8" t="s">
        <v>94</v>
      </c>
      <c r="G55" t="s">
        <v>741</v>
      </c>
      <c r="H55" t="s">
        <v>2735</v>
      </c>
      <c r="I55" t="s">
        <v>901</v>
      </c>
      <c r="J55" t="s">
        <v>901</v>
      </c>
      <c r="K55" t="s">
        <v>942</v>
      </c>
      <c r="L55" t="s">
        <v>942</v>
      </c>
      <c r="M55" t="s">
        <v>1974</v>
      </c>
      <c r="N55" s="8" t="s">
        <v>170</v>
      </c>
      <c r="O55" s="8" t="s">
        <v>897</v>
      </c>
      <c r="P55" s="21">
        <v>2019</v>
      </c>
      <c r="Q55" s="8" t="s">
        <v>898</v>
      </c>
      <c r="R55" s="32">
        <v>250000</v>
      </c>
      <c r="S55" s="21">
        <f t="shared" si="1"/>
        <v>11</v>
      </c>
      <c r="T55" s="8" t="s">
        <v>96</v>
      </c>
      <c r="U55" s="8" t="s">
        <v>1372</v>
      </c>
      <c r="V55" s="87" t="str">
        <f>HYPERLINK("https://www.ejacket.nsf.gov/ej/showProposal.do?ID="&amp;ckSplitsTable[[#This Row],[prop_id]],"eJ")</f>
        <v>eJ</v>
      </c>
      <c r="W55" s="8" t="s">
        <v>742</v>
      </c>
      <c r="X55" s="8" t="s">
        <v>1372</v>
      </c>
      <c r="Y55" s="8" t="s">
        <v>1053</v>
      </c>
      <c r="Z55" s="8" t="s">
        <v>2095</v>
      </c>
      <c r="AA55" s="8" t="s">
        <v>2101</v>
      </c>
      <c r="AB55" s="87" t="str">
        <f>HYPERLINK("mailto:"&amp;ckSplitsTable[[#This Row],[email]]&amp;"&amp;subject=Your NSF Proposal:  "&amp;ckSplitsTable[[#This Row],[prop_id]],ckSplitsTable[[#This Row],[email]])</f>
        <v>jw2966@columbia.edu</v>
      </c>
      <c r="AC55" s="8" t="s">
        <v>2281</v>
      </c>
      <c r="AD55" s="8" t="s">
        <v>1968</v>
      </c>
      <c r="AE55" s="8" t="s">
        <v>1968</v>
      </c>
      <c r="AF55" s="8" t="s">
        <v>1372</v>
      </c>
      <c r="AG55" s="8" t="s">
        <v>1977</v>
      </c>
      <c r="AH55" s="8" t="s">
        <v>2280</v>
      </c>
    </row>
    <row r="56" spans="1:34">
      <c r="A56" s="30">
        <v>42930.561608796299</v>
      </c>
      <c r="B56" s="30">
        <v>42809.702777777777</v>
      </c>
      <c r="C56" t="s">
        <v>1967</v>
      </c>
      <c r="D56" t="s">
        <v>1965</v>
      </c>
      <c r="E56" s="8" t="s">
        <v>94</v>
      </c>
      <c r="F56" s="8" t="s">
        <v>94</v>
      </c>
      <c r="G56" t="s">
        <v>741</v>
      </c>
      <c r="H56" t="s">
        <v>2733</v>
      </c>
      <c r="I56" t="s">
        <v>901</v>
      </c>
      <c r="J56" t="s">
        <v>901</v>
      </c>
      <c r="K56" t="s">
        <v>942</v>
      </c>
      <c r="L56" t="s">
        <v>2734</v>
      </c>
      <c r="M56" t="s">
        <v>1974</v>
      </c>
      <c r="N56" s="8" t="s">
        <v>170</v>
      </c>
      <c r="O56" s="8" t="s">
        <v>897</v>
      </c>
      <c r="P56" s="21">
        <v>2019</v>
      </c>
      <c r="Q56" s="8" t="s">
        <v>517</v>
      </c>
      <c r="R56" s="32">
        <v>250000</v>
      </c>
      <c r="S56" s="21">
        <f t="shared" si="1"/>
        <v>11</v>
      </c>
      <c r="T56" s="8" t="s">
        <v>96</v>
      </c>
      <c r="U56" s="8" t="s">
        <v>1372</v>
      </c>
      <c r="V56" s="87" t="str">
        <f>HYPERLINK("https://www.ejacket.nsf.gov/ej/showProposal.do?ID="&amp;ckSplitsTable[[#This Row],[prop_id]],"eJ")</f>
        <v>eJ</v>
      </c>
      <c r="W56" s="8" t="s">
        <v>742</v>
      </c>
      <c r="X56" s="8" t="s">
        <v>1372</v>
      </c>
      <c r="Y56" s="8" t="s">
        <v>1053</v>
      </c>
      <c r="Z56" s="8" t="s">
        <v>2095</v>
      </c>
      <c r="AA56" s="8" t="s">
        <v>2101</v>
      </c>
      <c r="AB56" s="87" t="str">
        <f>HYPERLINK("mailto:"&amp;ckSplitsTable[[#This Row],[email]]&amp;"&amp;subject=Your NSF Proposal:  "&amp;ckSplitsTable[[#This Row],[prop_id]],ckSplitsTable[[#This Row],[email]])</f>
        <v>jw2966@columbia.edu</v>
      </c>
      <c r="AC56" s="8" t="s">
        <v>2281</v>
      </c>
      <c r="AD56" s="8" t="s">
        <v>1968</v>
      </c>
      <c r="AE56" s="8" t="s">
        <v>1968</v>
      </c>
      <c r="AF56" s="8" t="s">
        <v>1372</v>
      </c>
      <c r="AG56" s="8" t="s">
        <v>1977</v>
      </c>
      <c r="AH56" s="8" t="s">
        <v>2280</v>
      </c>
    </row>
    <row r="57" spans="1:34">
      <c r="A57" s="30">
        <v>42930.5705787037</v>
      </c>
      <c r="B57" s="30">
        <v>42809.763888888891</v>
      </c>
      <c r="C57" t="s">
        <v>1967</v>
      </c>
      <c r="D57" t="s">
        <v>1965</v>
      </c>
      <c r="E57" s="8" t="s">
        <v>94</v>
      </c>
      <c r="F57" s="8" t="s">
        <v>94</v>
      </c>
      <c r="G57" t="s">
        <v>741</v>
      </c>
      <c r="H57" t="s">
        <v>2733</v>
      </c>
      <c r="I57" t="s">
        <v>901</v>
      </c>
      <c r="J57" t="s">
        <v>901</v>
      </c>
      <c r="K57" t="s">
        <v>942</v>
      </c>
      <c r="L57" t="s">
        <v>2734</v>
      </c>
      <c r="M57" t="s">
        <v>1974</v>
      </c>
      <c r="N57" s="8" t="s">
        <v>170</v>
      </c>
      <c r="O57" s="8" t="s">
        <v>897</v>
      </c>
      <c r="P57" s="21">
        <v>2017</v>
      </c>
      <c r="Q57" s="8" t="s">
        <v>898</v>
      </c>
      <c r="R57" s="32">
        <v>500000</v>
      </c>
      <c r="S57" s="21">
        <f t="shared" si="1"/>
        <v>12</v>
      </c>
      <c r="T57" s="8" t="s">
        <v>96</v>
      </c>
      <c r="U57" s="8" t="s">
        <v>1429</v>
      </c>
      <c r="V57" s="87" t="str">
        <f>HYPERLINK("https://www.ejacket.nsf.gov/ej/showProposal.do?ID="&amp;ckSplitsTable[[#This Row],[prop_id]],"eJ")</f>
        <v>eJ</v>
      </c>
      <c r="W57" s="8" t="s">
        <v>742</v>
      </c>
      <c r="X57" s="8" t="s">
        <v>1429</v>
      </c>
      <c r="Y57" s="8" t="s">
        <v>1430</v>
      </c>
      <c r="Z57" s="8" t="s">
        <v>2309</v>
      </c>
      <c r="AA57" s="8" t="s">
        <v>2310</v>
      </c>
      <c r="AB57" s="87" t="str">
        <f>HYPERLINK("mailto:"&amp;ckSplitsTable[[#This Row],[email]]&amp;"&amp;subject=Your NSF Proposal:  "&amp;ckSplitsTable[[#This Row],[prop_id]],ckSplitsTable[[#This Row],[email]])</f>
        <v>getoor@soe.ucsc.edu</v>
      </c>
      <c r="AC57" s="8" t="s">
        <v>2313</v>
      </c>
      <c r="AD57" s="8" t="s">
        <v>1968</v>
      </c>
      <c r="AE57" s="8" t="s">
        <v>1968</v>
      </c>
      <c r="AF57" s="8" t="s">
        <v>1429</v>
      </c>
      <c r="AG57" s="8" t="s">
        <v>1977</v>
      </c>
      <c r="AH57" s="8" t="s">
        <v>2312</v>
      </c>
    </row>
    <row r="58" spans="1:34">
      <c r="A58" s="30">
        <v>42930.5705787037</v>
      </c>
      <c r="B58" s="30">
        <v>42809.763888888891</v>
      </c>
      <c r="C58" t="s">
        <v>1967</v>
      </c>
      <c r="D58" t="s">
        <v>1965</v>
      </c>
      <c r="E58" s="8" t="s">
        <v>94</v>
      </c>
      <c r="F58" s="8" t="s">
        <v>94</v>
      </c>
      <c r="G58" t="s">
        <v>741</v>
      </c>
      <c r="H58" t="s">
        <v>2733</v>
      </c>
      <c r="I58" t="s">
        <v>901</v>
      </c>
      <c r="J58" t="s">
        <v>901</v>
      </c>
      <c r="K58" t="s">
        <v>942</v>
      </c>
      <c r="L58" t="s">
        <v>2734</v>
      </c>
      <c r="M58" t="s">
        <v>1974</v>
      </c>
      <c r="N58" s="8" t="s">
        <v>170</v>
      </c>
      <c r="O58" s="8" t="s">
        <v>897</v>
      </c>
      <c r="P58" s="21">
        <v>2018</v>
      </c>
      <c r="Q58" s="8" t="s">
        <v>898</v>
      </c>
      <c r="R58" s="32">
        <v>250000</v>
      </c>
      <c r="S58" s="21">
        <f t="shared" si="1"/>
        <v>12</v>
      </c>
      <c r="T58" s="8" t="s">
        <v>96</v>
      </c>
      <c r="U58" s="8" t="s">
        <v>1429</v>
      </c>
      <c r="V58" s="87" t="str">
        <f>HYPERLINK("https://www.ejacket.nsf.gov/ej/showProposal.do?ID="&amp;ckSplitsTable[[#This Row],[prop_id]],"eJ")</f>
        <v>eJ</v>
      </c>
      <c r="W58" s="8" t="s">
        <v>742</v>
      </c>
      <c r="X58" s="8" t="s">
        <v>1429</v>
      </c>
      <c r="Y58" s="8" t="s">
        <v>1430</v>
      </c>
      <c r="Z58" s="8" t="s">
        <v>2309</v>
      </c>
      <c r="AA58" s="8" t="s">
        <v>2310</v>
      </c>
      <c r="AB58" s="87" t="str">
        <f>HYPERLINK("mailto:"&amp;ckSplitsTable[[#This Row],[email]]&amp;"&amp;subject=Your NSF Proposal:  "&amp;ckSplitsTable[[#This Row],[prop_id]],ckSplitsTable[[#This Row],[email]])</f>
        <v>getoor@soe.ucsc.edu</v>
      </c>
      <c r="AC58" s="8" t="s">
        <v>2313</v>
      </c>
      <c r="AD58" s="8" t="s">
        <v>1968</v>
      </c>
      <c r="AE58" s="8" t="s">
        <v>1968</v>
      </c>
      <c r="AF58" s="8" t="s">
        <v>1429</v>
      </c>
      <c r="AG58" s="8" t="s">
        <v>1977</v>
      </c>
      <c r="AH58" s="8" t="s">
        <v>2312</v>
      </c>
    </row>
    <row r="59" spans="1:34">
      <c r="A59" s="30">
        <v>42930.5705787037</v>
      </c>
      <c r="B59" s="30">
        <v>42809.763888888891</v>
      </c>
      <c r="C59" t="s">
        <v>1967</v>
      </c>
      <c r="D59" t="s">
        <v>1965</v>
      </c>
      <c r="E59" s="8" t="s">
        <v>94</v>
      </c>
      <c r="F59" s="8" t="s">
        <v>94</v>
      </c>
      <c r="G59" t="s">
        <v>741</v>
      </c>
      <c r="H59" t="s">
        <v>2735</v>
      </c>
      <c r="I59" t="s">
        <v>901</v>
      </c>
      <c r="J59" t="s">
        <v>901</v>
      </c>
      <c r="K59" t="s">
        <v>942</v>
      </c>
      <c r="L59" t="s">
        <v>942</v>
      </c>
      <c r="M59" t="s">
        <v>1974</v>
      </c>
      <c r="N59" s="8" t="s">
        <v>170</v>
      </c>
      <c r="O59" s="8" t="s">
        <v>897</v>
      </c>
      <c r="P59" s="21">
        <v>2018</v>
      </c>
      <c r="Q59" s="8" t="s">
        <v>517</v>
      </c>
      <c r="R59" s="32">
        <v>250000</v>
      </c>
      <c r="S59" s="21">
        <f t="shared" si="1"/>
        <v>12</v>
      </c>
      <c r="T59" s="8" t="s">
        <v>96</v>
      </c>
      <c r="U59" s="8" t="s">
        <v>1429</v>
      </c>
      <c r="V59" s="87" t="str">
        <f>HYPERLINK("https://www.ejacket.nsf.gov/ej/showProposal.do?ID="&amp;ckSplitsTable[[#This Row],[prop_id]],"eJ")</f>
        <v>eJ</v>
      </c>
      <c r="W59" s="8" t="s">
        <v>742</v>
      </c>
      <c r="X59" s="8" t="s">
        <v>1429</v>
      </c>
      <c r="Y59" s="8" t="s">
        <v>1430</v>
      </c>
      <c r="Z59" s="8" t="s">
        <v>2309</v>
      </c>
      <c r="AA59" s="8" t="s">
        <v>2310</v>
      </c>
      <c r="AB59" s="87" t="str">
        <f>HYPERLINK("mailto:"&amp;ckSplitsTable[[#This Row],[email]]&amp;"&amp;subject=Your NSF Proposal:  "&amp;ckSplitsTable[[#This Row],[prop_id]],ckSplitsTable[[#This Row],[email]])</f>
        <v>getoor@soe.ucsc.edu</v>
      </c>
      <c r="AC59" s="8" t="s">
        <v>2313</v>
      </c>
      <c r="AD59" s="8" t="s">
        <v>1968</v>
      </c>
      <c r="AE59" s="8" t="s">
        <v>1968</v>
      </c>
      <c r="AF59" s="8" t="s">
        <v>1429</v>
      </c>
      <c r="AG59" s="8" t="s">
        <v>1977</v>
      </c>
      <c r="AH59" s="8" t="s">
        <v>2312</v>
      </c>
    </row>
    <row r="60" spans="1:34">
      <c r="A60" s="30">
        <v>42930.5705787037</v>
      </c>
      <c r="B60" s="30">
        <v>42809.763888888891</v>
      </c>
      <c r="C60" t="s">
        <v>1967</v>
      </c>
      <c r="D60" t="s">
        <v>1965</v>
      </c>
      <c r="E60" s="8" t="s">
        <v>94</v>
      </c>
      <c r="F60" s="8" t="s">
        <v>94</v>
      </c>
      <c r="G60" t="s">
        <v>741</v>
      </c>
      <c r="H60" t="s">
        <v>2733</v>
      </c>
      <c r="I60" t="s">
        <v>901</v>
      </c>
      <c r="J60" t="s">
        <v>901</v>
      </c>
      <c r="K60" t="s">
        <v>942</v>
      </c>
      <c r="L60" t="s">
        <v>2734</v>
      </c>
      <c r="M60" t="s">
        <v>1974</v>
      </c>
      <c r="N60" s="8" t="s">
        <v>170</v>
      </c>
      <c r="O60" s="8" t="s">
        <v>897</v>
      </c>
      <c r="P60" s="21">
        <v>2019</v>
      </c>
      <c r="Q60" s="8" t="s">
        <v>898</v>
      </c>
      <c r="R60" s="32">
        <v>250000</v>
      </c>
      <c r="S60" s="21">
        <f t="shared" si="1"/>
        <v>12</v>
      </c>
      <c r="T60" s="8" t="s">
        <v>96</v>
      </c>
      <c r="U60" s="8" t="s">
        <v>1429</v>
      </c>
      <c r="V60" s="87" t="str">
        <f>HYPERLINK("https://www.ejacket.nsf.gov/ej/showProposal.do?ID="&amp;ckSplitsTable[[#This Row],[prop_id]],"eJ")</f>
        <v>eJ</v>
      </c>
      <c r="W60" s="8" t="s">
        <v>742</v>
      </c>
      <c r="X60" s="8" t="s">
        <v>1429</v>
      </c>
      <c r="Y60" s="8" t="s">
        <v>1430</v>
      </c>
      <c r="Z60" s="8" t="s">
        <v>2309</v>
      </c>
      <c r="AA60" s="8" t="s">
        <v>2310</v>
      </c>
      <c r="AB60" s="87" t="str">
        <f>HYPERLINK("mailto:"&amp;ckSplitsTable[[#This Row],[email]]&amp;"&amp;subject=Your NSF Proposal:  "&amp;ckSplitsTable[[#This Row],[prop_id]],ckSplitsTable[[#This Row],[email]])</f>
        <v>getoor@soe.ucsc.edu</v>
      </c>
      <c r="AC60" s="8" t="s">
        <v>2313</v>
      </c>
      <c r="AD60" s="8" t="s">
        <v>1968</v>
      </c>
      <c r="AE60" s="8" t="s">
        <v>1968</v>
      </c>
      <c r="AF60" s="8" t="s">
        <v>1429</v>
      </c>
      <c r="AG60" s="8" t="s">
        <v>1977</v>
      </c>
      <c r="AH60" s="8" t="s">
        <v>2312</v>
      </c>
    </row>
    <row r="61" spans="1:34">
      <c r="A61" s="30">
        <v>42930.5705787037</v>
      </c>
      <c r="B61" s="30">
        <v>42809.763888888891</v>
      </c>
      <c r="C61" t="s">
        <v>1967</v>
      </c>
      <c r="D61" t="s">
        <v>1965</v>
      </c>
      <c r="E61" s="8" t="s">
        <v>94</v>
      </c>
      <c r="F61" s="8" t="s">
        <v>94</v>
      </c>
      <c r="G61" t="s">
        <v>741</v>
      </c>
      <c r="H61" t="s">
        <v>2735</v>
      </c>
      <c r="I61" t="s">
        <v>901</v>
      </c>
      <c r="J61" t="s">
        <v>901</v>
      </c>
      <c r="K61" t="s">
        <v>942</v>
      </c>
      <c r="L61" t="s">
        <v>942</v>
      </c>
      <c r="M61" t="s">
        <v>1974</v>
      </c>
      <c r="N61" s="8" t="s">
        <v>170</v>
      </c>
      <c r="O61" s="8" t="s">
        <v>897</v>
      </c>
      <c r="P61" s="21">
        <v>2019</v>
      </c>
      <c r="Q61" s="8" t="s">
        <v>517</v>
      </c>
      <c r="R61" s="32">
        <v>250000</v>
      </c>
      <c r="S61" s="21">
        <f t="shared" si="1"/>
        <v>12</v>
      </c>
      <c r="T61" s="8" t="s">
        <v>96</v>
      </c>
      <c r="U61" s="8" t="s">
        <v>1429</v>
      </c>
      <c r="V61" s="87" t="str">
        <f>HYPERLINK("https://www.ejacket.nsf.gov/ej/showProposal.do?ID="&amp;ckSplitsTable[[#This Row],[prop_id]],"eJ")</f>
        <v>eJ</v>
      </c>
      <c r="W61" s="8" t="s">
        <v>742</v>
      </c>
      <c r="X61" s="8" t="s">
        <v>1429</v>
      </c>
      <c r="Y61" s="8" t="s">
        <v>1430</v>
      </c>
      <c r="Z61" s="8" t="s">
        <v>2309</v>
      </c>
      <c r="AA61" s="8" t="s">
        <v>2310</v>
      </c>
      <c r="AB61" s="87" t="str">
        <f>HYPERLINK("mailto:"&amp;ckSplitsTable[[#This Row],[email]]&amp;"&amp;subject=Your NSF Proposal:  "&amp;ckSplitsTable[[#This Row],[prop_id]],ckSplitsTable[[#This Row],[email]])</f>
        <v>getoor@soe.ucsc.edu</v>
      </c>
      <c r="AC61" s="8" t="s">
        <v>2313</v>
      </c>
      <c r="AD61" s="8" t="s">
        <v>1968</v>
      </c>
      <c r="AE61" s="8" t="s">
        <v>1968</v>
      </c>
      <c r="AF61" s="8" t="s">
        <v>1429</v>
      </c>
      <c r="AG61" s="8" t="s">
        <v>1977</v>
      </c>
      <c r="AH61" s="8" t="s">
        <v>2312</v>
      </c>
    </row>
    <row r="62" spans="1:34">
      <c r="A62" s="30">
        <v>42930.572418981479</v>
      </c>
      <c r="B62" s="30">
        <v>42809.785416666666</v>
      </c>
      <c r="C62" t="s">
        <v>1967</v>
      </c>
      <c r="D62" t="s">
        <v>1965</v>
      </c>
      <c r="E62" s="8" t="s">
        <v>94</v>
      </c>
      <c r="F62" s="8" t="s">
        <v>94</v>
      </c>
      <c r="G62" t="s">
        <v>741</v>
      </c>
      <c r="H62" t="s">
        <v>741</v>
      </c>
      <c r="I62" t="s">
        <v>901</v>
      </c>
      <c r="J62" t="s">
        <v>901</v>
      </c>
      <c r="K62" t="s">
        <v>942</v>
      </c>
      <c r="L62" t="s">
        <v>942</v>
      </c>
      <c r="M62" t="s">
        <v>1974</v>
      </c>
      <c r="N62" s="8" t="s">
        <v>170</v>
      </c>
      <c r="O62" s="8" t="s">
        <v>897</v>
      </c>
      <c r="P62" s="21">
        <v>2017</v>
      </c>
      <c r="Q62" s="8" t="s">
        <v>898</v>
      </c>
      <c r="R62" s="32">
        <v>250000</v>
      </c>
      <c r="S62" s="21">
        <f t="shared" si="1"/>
        <v>13</v>
      </c>
      <c r="T62" s="8" t="s">
        <v>96</v>
      </c>
      <c r="U62" s="8" t="s">
        <v>1456</v>
      </c>
      <c r="V62" s="87" t="str">
        <f>HYPERLINK("https://www.ejacket.nsf.gov/ej/showProposal.do?ID="&amp;ckSplitsTable[[#This Row],[prop_id]],"eJ")</f>
        <v>eJ</v>
      </c>
      <c r="W62" s="8" t="s">
        <v>742</v>
      </c>
      <c r="X62" s="8" t="s">
        <v>1456</v>
      </c>
      <c r="Y62" s="8" t="s">
        <v>1457</v>
      </c>
      <c r="Z62" s="8" t="s">
        <v>1969</v>
      </c>
      <c r="AA62" s="8" t="s">
        <v>2325</v>
      </c>
      <c r="AB62" s="87" t="str">
        <f>HYPERLINK("mailto:"&amp;ckSplitsTable[[#This Row],[email]]&amp;"&amp;subject=Your NSF Proposal:  "&amp;ckSplitsTable[[#This Row],[prop_id]],ckSplitsTable[[#This Row],[email]])</f>
        <v>mmahoney@icsi.berkeley.edu</v>
      </c>
      <c r="AC62" s="8" t="s">
        <v>2328</v>
      </c>
      <c r="AD62" s="8" t="s">
        <v>1968</v>
      </c>
      <c r="AE62" s="8" t="s">
        <v>1968</v>
      </c>
      <c r="AF62" s="8" t="s">
        <v>1456</v>
      </c>
      <c r="AG62" s="8" t="s">
        <v>1977</v>
      </c>
      <c r="AH62" s="8" t="s">
        <v>2327</v>
      </c>
    </row>
    <row r="63" spans="1:34">
      <c r="A63" s="30">
        <v>42930.572418981479</v>
      </c>
      <c r="B63" s="30">
        <v>42809.785416666666</v>
      </c>
      <c r="C63" t="s">
        <v>1967</v>
      </c>
      <c r="D63" t="s">
        <v>1965</v>
      </c>
      <c r="E63" s="8" t="s">
        <v>94</v>
      </c>
      <c r="F63" s="8" t="s">
        <v>94</v>
      </c>
      <c r="G63" t="s">
        <v>741</v>
      </c>
      <c r="H63" t="s">
        <v>2735</v>
      </c>
      <c r="I63" t="s">
        <v>901</v>
      </c>
      <c r="J63" t="s">
        <v>901</v>
      </c>
      <c r="K63" t="s">
        <v>942</v>
      </c>
      <c r="L63" t="s">
        <v>942</v>
      </c>
      <c r="M63" t="s">
        <v>1974</v>
      </c>
      <c r="N63" s="8" t="s">
        <v>170</v>
      </c>
      <c r="O63" s="8" t="s">
        <v>897</v>
      </c>
      <c r="P63" s="21">
        <v>2017</v>
      </c>
      <c r="Q63" s="8" t="s">
        <v>517</v>
      </c>
      <c r="R63" s="32">
        <v>249999</v>
      </c>
      <c r="S63" s="21">
        <f t="shared" si="1"/>
        <v>13</v>
      </c>
      <c r="T63" s="8" t="s">
        <v>96</v>
      </c>
      <c r="U63" s="8" t="s">
        <v>1456</v>
      </c>
      <c r="V63" s="87" t="str">
        <f>HYPERLINK("https://www.ejacket.nsf.gov/ej/showProposal.do?ID="&amp;ckSplitsTable[[#This Row],[prop_id]],"eJ")</f>
        <v>eJ</v>
      </c>
      <c r="W63" s="8" t="s">
        <v>742</v>
      </c>
      <c r="X63" s="8" t="s">
        <v>1456</v>
      </c>
      <c r="Y63" s="8" t="s">
        <v>1457</v>
      </c>
      <c r="Z63" s="8" t="s">
        <v>1969</v>
      </c>
      <c r="AA63" s="8" t="s">
        <v>2325</v>
      </c>
      <c r="AB63" s="87" t="str">
        <f>HYPERLINK("mailto:"&amp;ckSplitsTable[[#This Row],[email]]&amp;"&amp;subject=Your NSF Proposal:  "&amp;ckSplitsTable[[#This Row],[prop_id]],ckSplitsTable[[#This Row],[email]])</f>
        <v>mmahoney@icsi.berkeley.edu</v>
      </c>
      <c r="AC63" s="8" t="s">
        <v>2328</v>
      </c>
      <c r="AD63" s="8" t="s">
        <v>1968</v>
      </c>
      <c r="AE63" s="8" t="s">
        <v>1968</v>
      </c>
      <c r="AF63" s="8" t="s">
        <v>1456</v>
      </c>
      <c r="AG63" s="8" t="s">
        <v>1977</v>
      </c>
      <c r="AH63" s="8" t="s">
        <v>2327</v>
      </c>
    </row>
    <row r="64" spans="1:34">
      <c r="A64" s="30">
        <v>42930.572418981479</v>
      </c>
      <c r="B64" s="30">
        <v>42809.785416666666</v>
      </c>
      <c r="C64" t="s">
        <v>1967</v>
      </c>
      <c r="D64" t="s">
        <v>1965</v>
      </c>
      <c r="E64" s="8" t="s">
        <v>94</v>
      </c>
      <c r="F64" s="8" t="s">
        <v>94</v>
      </c>
      <c r="G64" t="s">
        <v>741</v>
      </c>
      <c r="H64" t="s">
        <v>741</v>
      </c>
      <c r="I64" t="s">
        <v>901</v>
      </c>
      <c r="J64" t="s">
        <v>901</v>
      </c>
      <c r="K64" t="s">
        <v>942</v>
      </c>
      <c r="L64" t="s">
        <v>942</v>
      </c>
      <c r="M64" t="s">
        <v>1974</v>
      </c>
      <c r="N64" s="8" t="s">
        <v>170</v>
      </c>
      <c r="O64" s="8" t="s">
        <v>897</v>
      </c>
      <c r="P64" s="21">
        <v>2018</v>
      </c>
      <c r="Q64" s="8" t="s">
        <v>898</v>
      </c>
      <c r="R64" s="32">
        <v>250000</v>
      </c>
      <c r="S64" s="21">
        <f t="shared" si="1"/>
        <v>13</v>
      </c>
      <c r="T64" s="8" t="s">
        <v>96</v>
      </c>
      <c r="U64" s="8" t="s">
        <v>1456</v>
      </c>
      <c r="V64" s="87" t="str">
        <f>HYPERLINK("https://www.ejacket.nsf.gov/ej/showProposal.do?ID="&amp;ckSplitsTable[[#This Row],[prop_id]],"eJ")</f>
        <v>eJ</v>
      </c>
      <c r="W64" s="8" t="s">
        <v>742</v>
      </c>
      <c r="X64" s="8" t="s">
        <v>1456</v>
      </c>
      <c r="Y64" s="8" t="s">
        <v>1457</v>
      </c>
      <c r="Z64" s="8" t="s">
        <v>1969</v>
      </c>
      <c r="AA64" s="8" t="s">
        <v>2325</v>
      </c>
      <c r="AB64" s="87" t="str">
        <f>HYPERLINK("mailto:"&amp;ckSplitsTable[[#This Row],[email]]&amp;"&amp;subject=Your NSF Proposal:  "&amp;ckSplitsTable[[#This Row],[prop_id]],ckSplitsTable[[#This Row],[email]])</f>
        <v>mmahoney@icsi.berkeley.edu</v>
      </c>
      <c r="AC64" s="8" t="s">
        <v>2328</v>
      </c>
      <c r="AD64" s="8" t="s">
        <v>1968</v>
      </c>
      <c r="AE64" s="8" t="s">
        <v>1968</v>
      </c>
      <c r="AF64" s="8" t="s">
        <v>1456</v>
      </c>
      <c r="AG64" s="8" t="s">
        <v>1977</v>
      </c>
      <c r="AH64" s="8" t="s">
        <v>2327</v>
      </c>
    </row>
    <row r="65" spans="1:34">
      <c r="A65" s="30">
        <v>42930.572418981479</v>
      </c>
      <c r="B65" s="30">
        <v>42809.785416666666</v>
      </c>
      <c r="C65" t="s">
        <v>1967</v>
      </c>
      <c r="D65" t="s">
        <v>1965</v>
      </c>
      <c r="E65" s="8" t="s">
        <v>94</v>
      </c>
      <c r="F65" s="8" t="s">
        <v>94</v>
      </c>
      <c r="G65" t="s">
        <v>741</v>
      </c>
      <c r="H65" t="s">
        <v>2735</v>
      </c>
      <c r="I65" t="s">
        <v>901</v>
      </c>
      <c r="J65" t="s">
        <v>901</v>
      </c>
      <c r="K65" t="s">
        <v>942</v>
      </c>
      <c r="L65" t="s">
        <v>942</v>
      </c>
      <c r="M65" t="s">
        <v>1974</v>
      </c>
      <c r="N65" s="8" t="s">
        <v>170</v>
      </c>
      <c r="O65" s="8" t="s">
        <v>897</v>
      </c>
      <c r="P65" s="21">
        <v>2018</v>
      </c>
      <c r="Q65" s="8" t="s">
        <v>517</v>
      </c>
      <c r="R65" s="32">
        <v>250000</v>
      </c>
      <c r="S65" s="21">
        <f t="shared" si="1"/>
        <v>13</v>
      </c>
      <c r="T65" s="8" t="s">
        <v>96</v>
      </c>
      <c r="U65" s="8" t="s">
        <v>1456</v>
      </c>
      <c r="V65" s="87" t="str">
        <f>HYPERLINK("https://www.ejacket.nsf.gov/ej/showProposal.do?ID="&amp;ckSplitsTable[[#This Row],[prop_id]],"eJ")</f>
        <v>eJ</v>
      </c>
      <c r="W65" s="8" t="s">
        <v>742</v>
      </c>
      <c r="X65" s="8" t="s">
        <v>1456</v>
      </c>
      <c r="Y65" s="8" t="s">
        <v>1457</v>
      </c>
      <c r="Z65" s="8" t="s">
        <v>1969</v>
      </c>
      <c r="AA65" s="8" t="s">
        <v>2325</v>
      </c>
      <c r="AB65" s="87" t="str">
        <f>HYPERLINK("mailto:"&amp;ckSplitsTable[[#This Row],[email]]&amp;"&amp;subject=Your NSF Proposal:  "&amp;ckSplitsTable[[#This Row],[prop_id]],ckSplitsTable[[#This Row],[email]])</f>
        <v>mmahoney@icsi.berkeley.edu</v>
      </c>
      <c r="AC65" s="8" t="s">
        <v>2328</v>
      </c>
      <c r="AD65" s="8" t="s">
        <v>1968</v>
      </c>
      <c r="AE65" s="8" t="s">
        <v>1968</v>
      </c>
      <c r="AF65" s="8" t="s">
        <v>1456</v>
      </c>
      <c r="AG65" s="8" t="s">
        <v>1977</v>
      </c>
      <c r="AH65" s="8" t="s">
        <v>2327</v>
      </c>
    </row>
    <row r="66" spans="1:34">
      <c r="A66" s="30">
        <v>42930.572418981479</v>
      </c>
      <c r="B66" s="30">
        <v>42809.785416666666</v>
      </c>
      <c r="C66" t="s">
        <v>1967</v>
      </c>
      <c r="D66" t="s">
        <v>1965</v>
      </c>
      <c r="E66" s="8" t="s">
        <v>94</v>
      </c>
      <c r="F66" s="8" t="s">
        <v>94</v>
      </c>
      <c r="G66" t="s">
        <v>741</v>
      </c>
      <c r="H66" t="s">
        <v>741</v>
      </c>
      <c r="I66" t="s">
        <v>901</v>
      </c>
      <c r="J66" t="s">
        <v>901</v>
      </c>
      <c r="K66" t="s">
        <v>942</v>
      </c>
      <c r="L66" t="s">
        <v>942</v>
      </c>
      <c r="M66" t="s">
        <v>1974</v>
      </c>
      <c r="N66" s="8" t="s">
        <v>170</v>
      </c>
      <c r="O66" s="8" t="s">
        <v>897</v>
      </c>
      <c r="P66" s="21">
        <v>2019</v>
      </c>
      <c r="Q66" s="8" t="s">
        <v>898</v>
      </c>
      <c r="R66" s="32">
        <v>250000</v>
      </c>
      <c r="S66" s="21">
        <f t="shared" ref="S66:S73" si="2">S65+(X66&lt;&gt;X65)</f>
        <v>13</v>
      </c>
      <c r="T66" s="8" t="s">
        <v>96</v>
      </c>
      <c r="U66" s="8" t="s">
        <v>1456</v>
      </c>
      <c r="V66" s="87" t="str">
        <f>HYPERLINK("https://www.ejacket.nsf.gov/ej/showProposal.do?ID="&amp;ckSplitsTable[[#This Row],[prop_id]],"eJ")</f>
        <v>eJ</v>
      </c>
      <c r="W66" s="8" t="s">
        <v>742</v>
      </c>
      <c r="X66" s="8" t="s">
        <v>1456</v>
      </c>
      <c r="Y66" s="8" t="s">
        <v>1457</v>
      </c>
      <c r="Z66" s="8" t="s">
        <v>1969</v>
      </c>
      <c r="AA66" s="8" t="s">
        <v>2325</v>
      </c>
      <c r="AB66" s="87" t="str">
        <f>HYPERLINK("mailto:"&amp;ckSplitsTable[[#This Row],[email]]&amp;"&amp;subject=Your NSF Proposal:  "&amp;ckSplitsTable[[#This Row],[prop_id]],ckSplitsTable[[#This Row],[email]])</f>
        <v>mmahoney@icsi.berkeley.edu</v>
      </c>
      <c r="AC66" s="8" t="s">
        <v>2328</v>
      </c>
      <c r="AD66" s="8" t="s">
        <v>1968</v>
      </c>
      <c r="AE66" s="8" t="s">
        <v>1968</v>
      </c>
      <c r="AF66" s="8" t="s">
        <v>1456</v>
      </c>
      <c r="AG66" s="8" t="s">
        <v>1977</v>
      </c>
      <c r="AH66" s="8" t="s">
        <v>2327</v>
      </c>
    </row>
    <row r="67" spans="1:34">
      <c r="A67" s="30">
        <v>42930.572418981479</v>
      </c>
      <c r="B67" s="30">
        <v>42809.785416666666</v>
      </c>
      <c r="C67" t="s">
        <v>1967</v>
      </c>
      <c r="D67" t="s">
        <v>1965</v>
      </c>
      <c r="E67" s="8" t="s">
        <v>94</v>
      </c>
      <c r="F67" s="8" t="s">
        <v>94</v>
      </c>
      <c r="G67" t="s">
        <v>741</v>
      </c>
      <c r="H67" t="s">
        <v>2735</v>
      </c>
      <c r="I67" t="s">
        <v>901</v>
      </c>
      <c r="J67" t="s">
        <v>901</v>
      </c>
      <c r="K67" t="s">
        <v>942</v>
      </c>
      <c r="L67" t="s">
        <v>942</v>
      </c>
      <c r="M67" t="s">
        <v>1974</v>
      </c>
      <c r="N67" s="8" t="s">
        <v>170</v>
      </c>
      <c r="O67" s="8" t="s">
        <v>897</v>
      </c>
      <c r="P67" s="21">
        <v>2019</v>
      </c>
      <c r="Q67" s="8" t="s">
        <v>517</v>
      </c>
      <c r="R67" s="32">
        <v>250000</v>
      </c>
      <c r="S67" s="21">
        <f t="shared" si="2"/>
        <v>13</v>
      </c>
      <c r="T67" s="8" t="s">
        <v>96</v>
      </c>
      <c r="U67" s="8" t="s">
        <v>1456</v>
      </c>
      <c r="V67" s="87" t="str">
        <f>HYPERLINK("https://www.ejacket.nsf.gov/ej/showProposal.do?ID="&amp;ckSplitsTable[[#This Row],[prop_id]],"eJ")</f>
        <v>eJ</v>
      </c>
      <c r="W67" s="8" t="s">
        <v>742</v>
      </c>
      <c r="X67" s="8" t="s">
        <v>1456</v>
      </c>
      <c r="Y67" s="8" t="s">
        <v>1457</v>
      </c>
      <c r="Z67" s="8" t="s">
        <v>1969</v>
      </c>
      <c r="AA67" s="8" t="s">
        <v>2325</v>
      </c>
      <c r="AB67" s="87" t="str">
        <f>HYPERLINK("mailto:"&amp;ckSplitsTable[[#This Row],[email]]&amp;"&amp;subject=Your NSF Proposal:  "&amp;ckSplitsTable[[#This Row],[prop_id]],ckSplitsTable[[#This Row],[email]])</f>
        <v>mmahoney@icsi.berkeley.edu</v>
      </c>
      <c r="AC67" s="8" t="s">
        <v>2328</v>
      </c>
      <c r="AD67" s="8" t="s">
        <v>1968</v>
      </c>
      <c r="AE67" s="8" t="s">
        <v>1968</v>
      </c>
      <c r="AF67" s="8" t="s">
        <v>1456</v>
      </c>
      <c r="AG67" s="8" t="s">
        <v>1977</v>
      </c>
      <c r="AH67" s="8" t="s">
        <v>2327</v>
      </c>
    </row>
    <row r="68" spans="1:34">
      <c r="A68" s="30">
        <v>42930.588136574072</v>
      </c>
      <c r="B68" s="30">
        <v>42809.806944444441</v>
      </c>
      <c r="C68" t="s">
        <v>1967</v>
      </c>
      <c r="D68" t="s">
        <v>1965</v>
      </c>
      <c r="E68" s="8" t="s">
        <v>94</v>
      </c>
      <c r="F68" s="8" t="s">
        <v>94</v>
      </c>
      <c r="G68" t="s">
        <v>741</v>
      </c>
      <c r="H68" t="s">
        <v>741</v>
      </c>
      <c r="I68" t="s">
        <v>901</v>
      </c>
      <c r="J68" t="s">
        <v>901</v>
      </c>
      <c r="K68" t="s">
        <v>543</v>
      </c>
      <c r="L68" t="s">
        <v>543</v>
      </c>
      <c r="M68" t="s">
        <v>1974</v>
      </c>
      <c r="N68" s="8" t="s">
        <v>170</v>
      </c>
      <c r="O68" s="8" t="s">
        <v>897</v>
      </c>
      <c r="P68" s="21">
        <v>2017</v>
      </c>
      <c r="Q68" s="8" t="s">
        <v>898</v>
      </c>
      <c r="R68" s="32">
        <v>184250</v>
      </c>
      <c r="S68" s="21">
        <f t="shared" si="2"/>
        <v>14</v>
      </c>
      <c r="T68" s="8" t="s">
        <v>96</v>
      </c>
      <c r="U68" s="8" t="s">
        <v>1465</v>
      </c>
      <c r="V68" s="87" t="str">
        <f>HYPERLINK("https://www.ejacket.nsf.gov/ej/showProposal.do?ID="&amp;ckSplitsTable[[#This Row],[prop_id]],"eJ")</f>
        <v>eJ</v>
      </c>
      <c r="W68" s="8" t="s">
        <v>742</v>
      </c>
      <c r="X68" s="8" t="s">
        <v>1465</v>
      </c>
      <c r="Y68" s="8" t="s">
        <v>1019</v>
      </c>
      <c r="Z68" s="8" t="s">
        <v>2330</v>
      </c>
      <c r="AA68" s="8" t="s">
        <v>2331</v>
      </c>
      <c r="AB68" s="87" t="str">
        <f>HYPERLINK("mailto:"&amp;ckSplitsTable[[#This Row],[email]]&amp;"&amp;subject=Your NSF Proposal:  "&amp;ckSplitsTable[[#This Row],[prop_id]],ckSplitsTable[[#This Row],[email]])</f>
        <v>hzhang@math.arizona.edu</v>
      </c>
      <c r="AC68" s="8" t="s">
        <v>2333</v>
      </c>
      <c r="AD68" s="8" t="s">
        <v>1968</v>
      </c>
      <c r="AE68" s="8" t="s">
        <v>1968</v>
      </c>
      <c r="AF68" s="8" t="s">
        <v>1465</v>
      </c>
      <c r="AG68" s="8" t="s">
        <v>1977</v>
      </c>
      <c r="AH68" s="8" t="s">
        <v>2332</v>
      </c>
    </row>
    <row r="69" spans="1:34">
      <c r="A69" s="30">
        <v>42930.588136574072</v>
      </c>
      <c r="B69" s="30">
        <v>42809.806944444441</v>
      </c>
      <c r="C69" t="s">
        <v>1967</v>
      </c>
      <c r="D69" t="s">
        <v>1965</v>
      </c>
      <c r="E69" s="8" t="s">
        <v>94</v>
      </c>
      <c r="F69" s="8" t="s">
        <v>94</v>
      </c>
      <c r="G69" t="s">
        <v>741</v>
      </c>
      <c r="H69" t="s">
        <v>2735</v>
      </c>
      <c r="I69" t="s">
        <v>901</v>
      </c>
      <c r="J69" t="s">
        <v>901</v>
      </c>
      <c r="K69" t="s">
        <v>543</v>
      </c>
      <c r="L69" t="s">
        <v>942</v>
      </c>
      <c r="M69" t="s">
        <v>1974</v>
      </c>
      <c r="N69" s="8" t="s">
        <v>170</v>
      </c>
      <c r="O69" s="8" t="s">
        <v>897</v>
      </c>
      <c r="P69" s="21">
        <v>2017</v>
      </c>
      <c r="Q69" s="8" t="s">
        <v>517</v>
      </c>
      <c r="R69" s="32">
        <v>184250</v>
      </c>
      <c r="S69" s="21">
        <f t="shared" si="2"/>
        <v>14</v>
      </c>
      <c r="T69" s="8" t="s">
        <v>96</v>
      </c>
      <c r="U69" s="8" t="s">
        <v>1465</v>
      </c>
      <c r="V69" s="87" t="str">
        <f>HYPERLINK("https://www.ejacket.nsf.gov/ej/showProposal.do?ID="&amp;ckSplitsTable[[#This Row],[prop_id]],"eJ")</f>
        <v>eJ</v>
      </c>
      <c r="W69" s="8" t="s">
        <v>742</v>
      </c>
      <c r="X69" s="8" t="s">
        <v>1465</v>
      </c>
      <c r="Y69" s="8" t="s">
        <v>1019</v>
      </c>
      <c r="Z69" s="8" t="s">
        <v>2330</v>
      </c>
      <c r="AA69" s="8" t="s">
        <v>2331</v>
      </c>
      <c r="AB69" s="87" t="str">
        <f>HYPERLINK("mailto:"&amp;ckSplitsTable[[#This Row],[email]]&amp;"&amp;subject=Your NSF Proposal:  "&amp;ckSplitsTable[[#This Row],[prop_id]],ckSplitsTable[[#This Row],[email]])</f>
        <v>hzhang@math.arizona.edu</v>
      </c>
      <c r="AC69" s="8" t="s">
        <v>2333</v>
      </c>
      <c r="AD69" s="8" t="s">
        <v>1968</v>
      </c>
      <c r="AE69" s="8" t="s">
        <v>1968</v>
      </c>
      <c r="AF69" s="8" t="s">
        <v>1465</v>
      </c>
      <c r="AG69" s="8" t="s">
        <v>1977</v>
      </c>
      <c r="AH69" s="8" t="s">
        <v>2332</v>
      </c>
    </row>
    <row r="70" spans="1:34">
      <c r="A70" s="30">
        <v>42930.588136574072</v>
      </c>
      <c r="B70" s="30">
        <v>42809.806944444441</v>
      </c>
      <c r="C70" t="s">
        <v>1967</v>
      </c>
      <c r="D70" t="s">
        <v>1965</v>
      </c>
      <c r="E70" s="8" t="s">
        <v>94</v>
      </c>
      <c r="F70" s="8" t="s">
        <v>94</v>
      </c>
      <c r="G70" t="s">
        <v>741</v>
      </c>
      <c r="H70" t="s">
        <v>741</v>
      </c>
      <c r="I70" t="s">
        <v>901</v>
      </c>
      <c r="J70" t="s">
        <v>901</v>
      </c>
      <c r="K70" t="s">
        <v>543</v>
      </c>
      <c r="L70" t="s">
        <v>543</v>
      </c>
      <c r="M70" t="s">
        <v>1974</v>
      </c>
      <c r="N70" s="8" t="s">
        <v>170</v>
      </c>
      <c r="O70" s="8" t="s">
        <v>897</v>
      </c>
      <c r="P70" s="21">
        <v>2018</v>
      </c>
      <c r="Q70" s="8" t="s">
        <v>898</v>
      </c>
      <c r="R70" s="32">
        <v>250000</v>
      </c>
      <c r="S70" s="21">
        <f t="shared" si="2"/>
        <v>14</v>
      </c>
      <c r="T70" s="8" t="s">
        <v>96</v>
      </c>
      <c r="U70" s="8" t="s">
        <v>1465</v>
      </c>
      <c r="V70" s="87" t="str">
        <f>HYPERLINK("https://www.ejacket.nsf.gov/ej/showProposal.do?ID="&amp;ckSplitsTable[[#This Row],[prop_id]],"eJ")</f>
        <v>eJ</v>
      </c>
      <c r="W70" s="8" t="s">
        <v>742</v>
      </c>
      <c r="X70" s="8" t="s">
        <v>1465</v>
      </c>
      <c r="Y70" s="8" t="s">
        <v>1019</v>
      </c>
      <c r="Z70" s="8" t="s">
        <v>2330</v>
      </c>
      <c r="AA70" s="8" t="s">
        <v>2331</v>
      </c>
      <c r="AB70" s="87" t="str">
        <f>HYPERLINK("mailto:"&amp;ckSplitsTable[[#This Row],[email]]&amp;"&amp;subject=Your NSF Proposal:  "&amp;ckSplitsTable[[#This Row],[prop_id]],ckSplitsTable[[#This Row],[email]])</f>
        <v>hzhang@math.arizona.edu</v>
      </c>
      <c r="AC70" s="8" t="s">
        <v>2333</v>
      </c>
      <c r="AD70" s="8" t="s">
        <v>1968</v>
      </c>
      <c r="AE70" s="8" t="s">
        <v>1968</v>
      </c>
      <c r="AF70" s="8" t="s">
        <v>1465</v>
      </c>
      <c r="AG70" s="8" t="s">
        <v>1977</v>
      </c>
      <c r="AH70" s="8" t="s">
        <v>2332</v>
      </c>
    </row>
    <row r="71" spans="1:34">
      <c r="A71" s="30">
        <v>42930.588136574072</v>
      </c>
      <c r="B71" s="30">
        <v>42809.806944444441</v>
      </c>
      <c r="C71" t="s">
        <v>1967</v>
      </c>
      <c r="D71" t="s">
        <v>1965</v>
      </c>
      <c r="E71" s="8" t="s">
        <v>94</v>
      </c>
      <c r="F71" s="8" t="s">
        <v>94</v>
      </c>
      <c r="G71" t="s">
        <v>741</v>
      </c>
      <c r="H71" t="s">
        <v>2735</v>
      </c>
      <c r="I71" t="s">
        <v>901</v>
      </c>
      <c r="J71" t="s">
        <v>901</v>
      </c>
      <c r="K71" t="s">
        <v>543</v>
      </c>
      <c r="L71" t="s">
        <v>942</v>
      </c>
      <c r="M71" t="s">
        <v>1974</v>
      </c>
      <c r="N71" s="8" t="s">
        <v>170</v>
      </c>
      <c r="O71" s="8" t="s">
        <v>897</v>
      </c>
      <c r="P71" s="21">
        <v>2018</v>
      </c>
      <c r="Q71" s="8" t="s">
        <v>517</v>
      </c>
      <c r="R71" s="32">
        <v>249999</v>
      </c>
      <c r="S71" s="21">
        <f t="shared" si="2"/>
        <v>14</v>
      </c>
      <c r="T71" s="8" t="s">
        <v>96</v>
      </c>
      <c r="U71" s="8" t="s">
        <v>1465</v>
      </c>
      <c r="V71" s="87" t="str">
        <f>HYPERLINK("https://www.ejacket.nsf.gov/ej/showProposal.do?ID="&amp;ckSplitsTable[[#This Row],[prop_id]],"eJ")</f>
        <v>eJ</v>
      </c>
      <c r="W71" s="8" t="s">
        <v>742</v>
      </c>
      <c r="X71" s="8" t="s">
        <v>1465</v>
      </c>
      <c r="Y71" s="8" t="s">
        <v>1019</v>
      </c>
      <c r="Z71" s="8" t="s">
        <v>2330</v>
      </c>
      <c r="AA71" s="8" t="s">
        <v>2331</v>
      </c>
      <c r="AB71" s="87" t="str">
        <f>HYPERLINK("mailto:"&amp;ckSplitsTable[[#This Row],[email]]&amp;"&amp;subject=Your NSF Proposal:  "&amp;ckSplitsTable[[#This Row],[prop_id]],ckSplitsTable[[#This Row],[email]])</f>
        <v>hzhang@math.arizona.edu</v>
      </c>
      <c r="AC71" s="8" t="s">
        <v>2333</v>
      </c>
      <c r="AD71" s="8" t="s">
        <v>1968</v>
      </c>
      <c r="AE71" s="8" t="s">
        <v>1968</v>
      </c>
      <c r="AF71" s="8" t="s">
        <v>1465</v>
      </c>
      <c r="AG71" s="8" t="s">
        <v>1977</v>
      </c>
      <c r="AH71" s="8" t="s">
        <v>2332</v>
      </c>
    </row>
    <row r="72" spans="1:34">
      <c r="A72" s="30">
        <v>42930.588136574072</v>
      </c>
      <c r="B72" s="30">
        <v>42809.806944444441</v>
      </c>
      <c r="C72" t="s">
        <v>1967</v>
      </c>
      <c r="D72" t="s">
        <v>1965</v>
      </c>
      <c r="E72" s="8" t="s">
        <v>94</v>
      </c>
      <c r="F72" s="8" t="s">
        <v>94</v>
      </c>
      <c r="G72" t="s">
        <v>741</v>
      </c>
      <c r="H72" t="s">
        <v>741</v>
      </c>
      <c r="I72" t="s">
        <v>901</v>
      </c>
      <c r="J72" t="s">
        <v>901</v>
      </c>
      <c r="K72" t="s">
        <v>543</v>
      </c>
      <c r="L72" t="s">
        <v>543</v>
      </c>
      <c r="M72" t="s">
        <v>1974</v>
      </c>
      <c r="N72" s="8" t="s">
        <v>170</v>
      </c>
      <c r="O72" s="8" t="s">
        <v>897</v>
      </c>
      <c r="P72" s="21">
        <v>2019</v>
      </c>
      <c r="Q72" s="8" t="s">
        <v>898</v>
      </c>
      <c r="R72" s="32">
        <v>250000</v>
      </c>
      <c r="S72" s="21">
        <f t="shared" si="2"/>
        <v>14</v>
      </c>
      <c r="T72" s="8" t="s">
        <v>96</v>
      </c>
      <c r="U72" s="8" t="s">
        <v>1465</v>
      </c>
      <c r="V72" s="87" t="str">
        <f>HYPERLINK("https://www.ejacket.nsf.gov/ej/showProposal.do?ID="&amp;ckSplitsTable[[#This Row],[prop_id]],"eJ")</f>
        <v>eJ</v>
      </c>
      <c r="W72" s="8" t="s">
        <v>742</v>
      </c>
      <c r="X72" s="8" t="s">
        <v>1465</v>
      </c>
      <c r="Y72" s="8" t="s">
        <v>1019</v>
      </c>
      <c r="Z72" s="8" t="s">
        <v>2330</v>
      </c>
      <c r="AA72" s="8" t="s">
        <v>2331</v>
      </c>
      <c r="AB72" s="87" t="str">
        <f>HYPERLINK("mailto:"&amp;ckSplitsTable[[#This Row],[email]]&amp;"&amp;subject=Your NSF Proposal:  "&amp;ckSplitsTable[[#This Row],[prop_id]],ckSplitsTable[[#This Row],[email]])</f>
        <v>hzhang@math.arizona.edu</v>
      </c>
      <c r="AC72" s="8" t="s">
        <v>2333</v>
      </c>
      <c r="AD72" s="8" t="s">
        <v>1968</v>
      </c>
      <c r="AE72" s="8" t="s">
        <v>1968</v>
      </c>
      <c r="AF72" s="8" t="s">
        <v>1465</v>
      </c>
      <c r="AG72" s="8" t="s">
        <v>1977</v>
      </c>
      <c r="AH72" s="8" t="s">
        <v>2332</v>
      </c>
    </row>
    <row r="73" spans="1:34">
      <c r="A73" s="30">
        <v>42930.588136574072</v>
      </c>
      <c r="B73" s="30">
        <v>42809.806944444441</v>
      </c>
      <c r="C73" t="s">
        <v>1967</v>
      </c>
      <c r="D73" t="s">
        <v>1965</v>
      </c>
      <c r="E73" s="8" t="s">
        <v>94</v>
      </c>
      <c r="F73" s="8" t="s">
        <v>94</v>
      </c>
      <c r="G73" t="s">
        <v>741</v>
      </c>
      <c r="H73" t="s">
        <v>2735</v>
      </c>
      <c r="I73" t="s">
        <v>901</v>
      </c>
      <c r="J73" t="s">
        <v>901</v>
      </c>
      <c r="K73" t="s">
        <v>543</v>
      </c>
      <c r="L73" t="s">
        <v>942</v>
      </c>
      <c r="M73" t="s">
        <v>1974</v>
      </c>
      <c r="N73" s="8" t="s">
        <v>170</v>
      </c>
      <c r="O73" s="8" t="s">
        <v>897</v>
      </c>
      <c r="P73" s="21">
        <v>2019</v>
      </c>
      <c r="Q73" s="8" t="s">
        <v>517</v>
      </c>
      <c r="R73" s="32">
        <v>249999</v>
      </c>
      <c r="S73" s="21">
        <f t="shared" si="2"/>
        <v>14</v>
      </c>
      <c r="T73" s="8" t="s">
        <v>96</v>
      </c>
      <c r="U73" s="8" t="s">
        <v>1465</v>
      </c>
      <c r="V73" s="87" t="str">
        <f>HYPERLINK("https://www.ejacket.nsf.gov/ej/showProposal.do?ID="&amp;ckSplitsTable[[#This Row],[prop_id]],"eJ")</f>
        <v>eJ</v>
      </c>
      <c r="W73" s="8" t="s">
        <v>742</v>
      </c>
      <c r="X73" s="8" t="s">
        <v>1465</v>
      </c>
      <c r="Y73" s="8" t="s">
        <v>1019</v>
      </c>
      <c r="Z73" s="8" t="s">
        <v>2330</v>
      </c>
      <c r="AA73" s="8" t="s">
        <v>2331</v>
      </c>
      <c r="AB73" s="87" t="str">
        <f>HYPERLINK("mailto:"&amp;ckSplitsTable[[#This Row],[email]]&amp;"&amp;subject=Your NSF Proposal:  "&amp;ckSplitsTable[[#This Row],[prop_id]],ckSplitsTable[[#This Row],[email]])</f>
        <v>hzhang@math.arizona.edu</v>
      </c>
      <c r="AC73" s="8" t="s">
        <v>2333</v>
      </c>
      <c r="AD73" s="8" t="s">
        <v>1968</v>
      </c>
      <c r="AE73" s="8" t="s">
        <v>1968</v>
      </c>
      <c r="AF73" s="8" t="s">
        <v>1465</v>
      </c>
      <c r="AG73" s="8" t="s">
        <v>1977</v>
      </c>
      <c r="AH73" s="8" t="s">
        <v>2332</v>
      </c>
    </row>
  </sheetData>
  <conditionalFormatting sqref="A2:AH73">
    <cfRule type="expression" dxfId="20" priority="3">
      <formula>MOD($S2,2)</formula>
    </cfRule>
    <cfRule type="expression" dxfId="19" priority="2">
      <formula>$U1&lt;&gt;$U2</formula>
    </cfRule>
  </conditionalFormatting>
  <conditionalFormatting sqref="F2:F73 H2:H73 J2:J73 L2:L73 AE2:AE73">
    <cfRule type="expression" dxfId="18"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774"/>
  <sheetViews>
    <sheetView workbookViewId="0">
      <selection activeCell="P90" sqref="P90"/>
    </sheetView>
  </sheetViews>
  <sheetFormatPr defaultRowHeight="14.6"/>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c r="A1" t="s">
        <v>102</v>
      </c>
      <c r="B1" t="s">
        <v>9</v>
      </c>
      <c r="C1" t="s">
        <v>10</v>
      </c>
      <c r="D1" t="s">
        <v>180</v>
      </c>
      <c r="E1" t="s">
        <v>181</v>
      </c>
      <c r="F1" t="s">
        <v>182</v>
      </c>
      <c r="G1" t="s">
        <v>183</v>
      </c>
      <c r="H1" t="s">
        <v>184</v>
      </c>
      <c r="I1" t="s">
        <v>185</v>
      </c>
      <c r="J1" t="s">
        <v>186</v>
      </c>
      <c r="K1" s="28" t="s">
        <v>187</v>
      </c>
      <c r="L1" t="s">
        <v>188</v>
      </c>
      <c r="M1" s="21" t="s">
        <v>189</v>
      </c>
      <c r="N1" s="21" t="s">
        <v>190</v>
      </c>
      <c r="O1" t="s">
        <v>191</v>
      </c>
      <c r="P1" t="s">
        <v>192</v>
      </c>
    </row>
    <row r="2" spans="1:16">
      <c r="A2">
        <f t="shared" ref="A2:A65" si="0">A1+(B2&lt;&gt;B1)</f>
        <v>1</v>
      </c>
      <c r="B2" t="s">
        <v>917</v>
      </c>
      <c r="C2" t="s">
        <v>918</v>
      </c>
      <c r="D2" t="s">
        <v>205</v>
      </c>
      <c r="E2" t="s">
        <v>543</v>
      </c>
      <c r="F2" t="s">
        <v>919</v>
      </c>
      <c r="G2" t="s">
        <v>920</v>
      </c>
      <c r="H2" t="s">
        <v>921</v>
      </c>
      <c r="I2" t="s">
        <v>193</v>
      </c>
      <c r="J2" t="s">
        <v>922</v>
      </c>
      <c r="K2" s="30">
        <v>42871</v>
      </c>
      <c r="L2" s="8">
        <v>42916.815636574072</v>
      </c>
      <c r="M2" s="21">
        <f>LEN(ProjTextTable[[#This Row],[text]])</f>
        <v>2248</v>
      </c>
      <c r="N2" s="21">
        <f>LEN(TRIM(CLEAN(SUBSTITUTE(ProjTextTable[[#This Row],[text]],CHAR(10)," "))))+1 - LEN(SUBSTITUTE(CLEAN(SUBSTITUTE(ProjTextTable[[#This Row],[text]],CHAR(10)," "))," ",""))</f>
        <v>309</v>
      </c>
      <c r="O2" t="s">
        <v>923</v>
      </c>
      <c r="P2" t="s">
        <v>924</v>
      </c>
    </row>
    <row r="3" spans="1:16">
      <c r="A3">
        <f t="shared" si="0"/>
        <v>1</v>
      </c>
      <c r="B3" t="s">
        <v>917</v>
      </c>
      <c r="C3" t="s">
        <v>918</v>
      </c>
      <c r="D3" t="s">
        <v>2</v>
      </c>
      <c r="E3" t="s">
        <v>543</v>
      </c>
      <c r="F3" t="s">
        <v>13</v>
      </c>
      <c r="G3" t="s">
        <v>925</v>
      </c>
      <c r="H3" t="s">
        <v>13</v>
      </c>
      <c r="I3" t="s">
        <v>13</v>
      </c>
      <c r="K3" s="30"/>
      <c r="L3" s="8">
        <v>42951.478125000001</v>
      </c>
      <c r="M3" s="21">
        <f>LEN(ProjTextTable[[#This Row],[text]])</f>
        <v>4592</v>
      </c>
      <c r="N3" s="21">
        <f>LEN(TRIM(CLEAN(SUBSTITUTE(ProjTextTable[[#This Row],[text]],CHAR(10)," "))))+1 - LEN(SUBSTITUTE(CLEAN(SUBSTITUTE(ProjTextTable[[#This Row],[text]],CHAR(10)," "))," ",""))</f>
        <v>679</v>
      </c>
      <c r="O3" t="s">
        <v>13</v>
      </c>
      <c r="P3" t="s">
        <v>926</v>
      </c>
    </row>
    <row r="4" spans="1:16">
      <c r="A4">
        <f t="shared" si="0"/>
        <v>1</v>
      </c>
      <c r="B4" t="s">
        <v>917</v>
      </c>
      <c r="C4" t="s">
        <v>918</v>
      </c>
      <c r="D4" t="s">
        <v>194</v>
      </c>
      <c r="E4" t="s">
        <v>543</v>
      </c>
      <c r="F4" t="s">
        <v>927</v>
      </c>
      <c r="G4" t="s">
        <v>928</v>
      </c>
      <c r="H4" t="s">
        <v>929</v>
      </c>
      <c r="I4" t="s">
        <v>95</v>
      </c>
      <c r="J4" t="s">
        <v>176</v>
      </c>
      <c r="K4" s="30">
        <v>42872</v>
      </c>
      <c r="L4" s="8">
        <v>42868.605219907404</v>
      </c>
      <c r="M4" s="21">
        <f>LEN(ProjTextTable[[#This Row],[text]])</f>
        <v>4202</v>
      </c>
      <c r="N4" s="21">
        <f>LEN(TRIM(CLEAN(SUBSTITUTE(ProjTextTable[[#This Row],[text]],CHAR(10)," "))))+1 - LEN(SUBSTITUTE(CLEAN(SUBSTITUTE(ProjTextTable[[#This Row],[text]],CHAR(10)," "))," ",""))</f>
        <v>599</v>
      </c>
      <c r="O4" t="s">
        <v>195</v>
      </c>
      <c r="P4" t="s">
        <v>930</v>
      </c>
    </row>
    <row r="5" spans="1:16">
      <c r="A5">
        <f t="shared" si="0"/>
        <v>1</v>
      </c>
      <c r="B5" t="s">
        <v>917</v>
      </c>
      <c r="C5" t="s">
        <v>918</v>
      </c>
      <c r="D5" t="s">
        <v>194</v>
      </c>
      <c r="E5" t="s">
        <v>543</v>
      </c>
      <c r="F5" t="s">
        <v>931</v>
      </c>
      <c r="G5" t="s">
        <v>932</v>
      </c>
      <c r="H5" t="s">
        <v>933</v>
      </c>
      <c r="I5" t="s">
        <v>95</v>
      </c>
      <c r="J5" t="s">
        <v>176</v>
      </c>
      <c r="K5" s="30">
        <v>42872</v>
      </c>
      <c r="L5" s="8">
        <v>42871.303171296298</v>
      </c>
      <c r="M5" s="21">
        <f>LEN(ProjTextTable[[#This Row],[text]])</f>
        <v>3511</v>
      </c>
      <c r="N5" s="21">
        <f>LEN(TRIM(CLEAN(SUBSTITUTE(ProjTextTable[[#This Row],[text]],CHAR(10)," "))))+1 - LEN(SUBSTITUTE(CLEAN(SUBSTITUTE(ProjTextTable[[#This Row],[text]],CHAR(10)," "))," ",""))</f>
        <v>523</v>
      </c>
      <c r="O5" t="s">
        <v>195</v>
      </c>
      <c r="P5" t="s">
        <v>934</v>
      </c>
    </row>
    <row r="6" spans="1:16">
      <c r="A6">
        <f t="shared" si="0"/>
        <v>1</v>
      </c>
      <c r="B6" t="s">
        <v>917</v>
      </c>
      <c r="C6" t="s">
        <v>918</v>
      </c>
      <c r="D6" t="s">
        <v>194</v>
      </c>
      <c r="E6" t="s">
        <v>543</v>
      </c>
      <c r="F6" t="s">
        <v>935</v>
      </c>
      <c r="G6" t="s">
        <v>936</v>
      </c>
      <c r="H6" t="s">
        <v>937</v>
      </c>
      <c r="I6" t="s">
        <v>95</v>
      </c>
      <c r="J6" t="s">
        <v>176</v>
      </c>
      <c r="K6" s="30">
        <v>42872</v>
      </c>
      <c r="L6" s="8">
        <v>42872.505439814813</v>
      </c>
      <c r="M6" s="21">
        <f>LEN(ProjTextTable[[#This Row],[text]])</f>
        <v>7639</v>
      </c>
      <c r="N6" s="21">
        <f>LEN(TRIM(CLEAN(SUBSTITUTE(ProjTextTable[[#This Row],[text]],CHAR(10)," "))))+1 - LEN(SUBSTITUTE(CLEAN(SUBSTITUTE(ProjTextTable[[#This Row],[text]],CHAR(10)," "))," ",""))</f>
        <v>1068</v>
      </c>
      <c r="O6" t="s">
        <v>195</v>
      </c>
      <c r="P6" t="s">
        <v>938</v>
      </c>
    </row>
    <row r="7" spans="1:16">
      <c r="A7">
        <f t="shared" si="0"/>
        <v>1</v>
      </c>
      <c r="B7" t="s">
        <v>917</v>
      </c>
      <c r="C7" t="s">
        <v>918</v>
      </c>
      <c r="D7" t="s">
        <v>196</v>
      </c>
      <c r="E7" t="s">
        <v>543</v>
      </c>
      <c r="F7" t="s">
        <v>13</v>
      </c>
      <c r="G7" t="s">
        <v>13</v>
      </c>
      <c r="H7" t="s">
        <v>13</v>
      </c>
      <c r="K7" s="30"/>
      <c r="L7" s="8">
        <v>42808.042256944442</v>
      </c>
      <c r="M7" s="21">
        <f>LEN(ProjTextTable[[#This Row],[text]])</f>
        <v>4262</v>
      </c>
      <c r="N7" s="21">
        <f>LEN(TRIM(CLEAN(SUBSTITUTE(ProjTextTable[[#This Row],[text]],CHAR(10)," "))))+1 - LEN(SUBSTITUTE(CLEAN(SUBSTITUTE(ProjTextTable[[#This Row],[text]],CHAR(10)," "))," ",""))</f>
        <v>646</v>
      </c>
      <c r="O7" t="s">
        <v>13</v>
      </c>
      <c r="P7" t="s">
        <v>939</v>
      </c>
    </row>
    <row r="8" spans="1:16">
      <c r="A8">
        <f t="shared" si="0"/>
        <v>2</v>
      </c>
      <c r="B8" t="s">
        <v>940</v>
      </c>
      <c r="C8" t="s">
        <v>941</v>
      </c>
      <c r="D8" t="s">
        <v>205</v>
      </c>
      <c r="E8" t="s">
        <v>942</v>
      </c>
      <c r="F8" t="s">
        <v>943</v>
      </c>
      <c r="G8" t="s">
        <v>944</v>
      </c>
      <c r="H8" t="s">
        <v>945</v>
      </c>
      <c r="I8" t="s">
        <v>95</v>
      </c>
      <c r="J8" t="s">
        <v>197</v>
      </c>
      <c r="K8" s="30">
        <v>42877</v>
      </c>
      <c r="L8" s="8">
        <v>42928.56046296296</v>
      </c>
      <c r="M8" s="21">
        <f>LEN(ProjTextTable[[#This Row],[text]])</f>
        <v>4132</v>
      </c>
      <c r="N8" s="21">
        <f>LEN(TRIM(CLEAN(SUBSTITUTE(ProjTextTable[[#This Row],[text]],CHAR(10)," "))))+1 - LEN(SUBSTITUTE(CLEAN(SUBSTITUTE(ProjTextTable[[#This Row],[text]],CHAR(10)," "))," ",""))</f>
        <v>540</v>
      </c>
      <c r="O8" t="s">
        <v>946</v>
      </c>
      <c r="P8" t="s">
        <v>947</v>
      </c>
    </row>
    <row r="9" spans="1:16">
      <c r="A9">
        <f t="shared" si="0"/>
        <v>2</v>
      </c>
      <c r="B9" t="s">
        <v>940</v>
      </c>
      <c r="C9" t="s">
        <v>941</v>
      </c>
      <c r="D9" t="s">
        <v>397</v>
      </c>
      <c r="E9" t="s">
        <v>948</v>
      </c>
      <c r="F9" t="s">
        <v>13</v>
      </c>
      <c r="G9" t="s">
        <v>949</v>
      </c>
      <c r="H9" t="s">
        <v>13</v>
      </c>
      <c r="I9" t="s">
        <v>13</v>
      </c>
      <c r="K9" s="30"/>
      <c r="L9" s="8">
        <v>42930.632314814815</v>
      </c>
      <c r="M9" s="21">
        <f>LEN(ProjTextTable[[#This Row],[text]])</f>
        <v>2950</v>
      </c>
      <c r="N9" s="21">
        <f>LEN(TRIM(CLEAN(SUBSTITUTE(ProjTextTable[[#This Row],[text]],CHAR(10)," "))))+1 - LEN(SUBSTITUTE(CLEAN(SUBSTITUTE(ProjTextTable[[#This Row],[text]],CHAR(10)," "))," ",""))</f>
        <v>434</v>
      </c>
      <c r="O9" t="s">
        <v>13</v>
      </c>
      <c r="P9" t="s">
        <v>950</v>
      </c>
    </row>
    <row r="10" spans="1:16">
      <c r="A10">
        <f t="shared" si="0"/>
        <v>2</v>
      </c>
      <c r="B10" t="s">
        <v>940</v>
      </c>
      <c r="C10" t="s">
        <v>941</v>
      </c>
      <c r="D10" t="s">
        <v>951</v>
      </c>
      <c r="E10" t="s">
        <v>948</v>
      </c>
      <c r="F10" t="s">
        <v>940</v>
      </c>
      <c r="G10" t="s">
        <v>952</v>
      </c>
      <c r="H10" t="s">
        <v>13</v>
      </c>
      <c r="I10" t="s">
        <v>13</v>
      </c>
      <c r="J10" t="s">
        <v>953</v>
      </c>
      <c r="K10" s="30">
        <v>42929.452777777777</v>
      </c>
      <c r="L10" s="8">
        <v>44755.452777777777</v>
      </c>
      <c r="M10" s="21">
        <f>LEN(ProjTextTable[[#This Row],[text]])</f>
        <v>9461</v>
      </c>
      <c r="N10" s="21">
        <f>LEN(TRIM(CLEAN(SUBSTITUTE(ProjTextTable[[#This Row],[text]],CHAR(10)," "))))+1 - LEN(SUBSTITUTE(CLEAN(SUBSTITUTE(ProjTextTable[[#This Row],[text]],CHAR(10)," "))," ",""))</f>
        <v>1378</v>
      </c>
      <c r="O10" t="s">
        <v>13</v>
      </c>
      <c r="P10" t="s">
        <v>954</v>
      </c>
    </row>
    <row r="11" spans="1:16">
      <c r="A11">
        <f t="shared" si="0"/>
        <v>2</v>
      </c>
      <c r="B11" t="s">
        <v>940</v>
      </c>
      <c r="C11" t="s">
        <v>941</v>
      </c>
      <c r="D11" t="s">
        <v>194</v>
      </c>
      <c r="E11" t="s">
        <v>543</v>
      </c>
      <c r="F11" t="s">
        <v>955</v>
      </c>
      <c r="G11" t="s">
        <v>956</v>
      </c>
      <c r="H11" t="s">
        <v>957</v>
      </c>
      <c r="I11" t="s">
        <v>95</v>
      </c>
      <c r="J11" t="s">
        <v>176</v>
      </c>
      <c r="K11" s="30">
        <v>42878</v>
      </c>
      <c r="L11" s="8">
        <v>42878.486284722225</v>
      </c>
      <c r="M11" s="21">
        <f>LEN(ProjTextTable[[#This Row],[text]])</f>
        <v>3593</v>
      </c>
      <c r="N11" s="21">
        <f>LEN(TRIM(CLEAN(SUBSTITUTE(ProjTextTable[[#This Row],[text]],CHAR(10)," "))))+1 - LEN(SUBSTITUTE(CLEAN(SUBSTITUTE(ProjTextTable[[#This Row],[text]],CHAR(10)," "))," ",""))</f>
        <v>528</v>
      </c>
      <c r="O11" t="s">
        <v>198</v>
      </c>
      <c r="P11" t="s">
        <v>958</v>
      </c>
    </row>
    <row r="12" spans="1:16">
      <c r="A12">
        <f t="shared" si="0"/>
        <v>2</v>
      </c>
      <c r="B12" t="s">
        <v>940</v>
      </c>
      <c r="C12" t="s">
        <v>941</v>
      </c>
      <c r="D12" t="s">
        <v>194</v>
      </c>
      <c r="E12" t="s">
        <v>543</v>
      </c>
      <c r="F12" t="s">
        <v>959</v>
      </c>
      <c r="G12" t="s">
        <v>960</v>
      </c>
      <c r="H12" t="s">
        <v>961</v>
      </c>
      <c r="I12" t="s">
        <v>95</v>
      </c>
      <c r="J12" t="s">
        <v>176</v>
      </c>
      <c r="K12" s="30">
        <v>42878</v>
      </c>
      <c r="L12" s="8">
        <v>42878.333738425928</v>
      </c>
      <c r="M12" s="21">
        <f>LEN(ProjTextTable[[#This Row],[text]])</f>
        <v>1651</v>
      </c>
      <c r="N12" s="21">
        <f>LEN(TRIM(CLEAN(SUBSTITUTE(ProjTextTable[[#This Row],[text]],CHAR(10)," "))))+1 - LEN(SUBSTITUTE(CLEAN(SUBSTITUTE(ProjTextTable[[#This Row],[text]],CHAR(10)," "))," ",""))</f>
        <v>244</v>
      </c>
      <c r="O12" t="s">
        <v>199</v>
      </c>
      <c r="P12" t="s">
        <v>962</v>
      </c>
    </row>
    <row r="13" spans="1:16">
      <c r="A13">
        <f t="shared" si="0"/>
        <v>2</v>
      </c>
      <c r="B13" t="s">
        <v>940</v>
      </c>
      <c r="C13" t="s">
        <v>941</v>
      </c>
      <c r="D13" t="s">
        <v>194</v>
      </c>
      <c r="E13" t="s">
        <v>543</v>
      </c>
      <c r="F13" t="s">
        <v>963</v>
      </c>
      <c r="G13" t="s">
        <v>964</v>
      </c>
      <c r="H13" t="s">
        <v>965</v>
      </c>
      <c r="I13" t="s">
        <v>95</v>
      </c>
      <c r="J13" t="s">
        <v>176</v>
      </c>
      <c r="K13" s="30">
        <v>42878</v>
      </c>
      <c r="L13" s="8">
        <v>42878.326643518521</v>
      </c>
      <c r="M13" s="21">
        <f>LEN(ProjTextTable[[#This Row],[text]])</f>
        <v>3713</v>
      </c>
      <c r="N13" s="21">
        <f>LEN(TRIM(CLEAN(SUBSTITUTE(ProjTextTable[[#This Row],[text]],CHAR(10)," "))))+1 - LEN(SUBSTITUTE(CLEAN(SUBSTITUTE(ProjTextTable[[#This Row],[text]],CHAR(10)," "))," ",""))</f>
        <v>530</v>
      </c>
      <c r="O13" t="s">
        <v>199</v>
      </c>
      <c r="P13" t="s">
        <v>966</v>
      </c>
    </row>
    <row r="14" spans="1:16">
      <c r="A14">
        <f t="shared" si="0"/>
        <v>2</v>
      </c>
      <c r="B14" t="s">
        <v>940</v>
      </c>
      <c r="C14" t="s">
        <v>941</v>
      </c>
      <c r="D14" t="s">
        <v>196</v>
      </c>
      <c r="E14" t="s">
        <v>948</v>
      </c>
      <c r="F14" t="s">
        <v>13</v>
      </c>
      <c r="G14" t="s">
        <v>13</v>
      </c>
      <c r="H14" t="s">
        <v>13</v>
      </c>
      <c r="K14" s="30"/>
      <c r="L14" s="8">
        <v>42808.042268518519</v>
      </c>
      <c r="M14" s="21">
        <f>LEN(ProjTextTable[[#This Row],[text]])</f>
        <v>3360</v>
      </c>
      <c r="N14" s="21">
        <f>LEN(TRIM(CLEAN(SUBSTITUTE(ProjTextTable[[#This Row],[text]],CHAR(10)," "))))+1 - LEN(SUBSTITUTE(CLEAN(SUBSTITUTE(ProjTextTable[[#This Row],[text]],CHAR(10)," "))," ",""))</f>
        <v>492</v>
      </c>
      <c r="O14" t="s">
        <v>13</v>
      </c>
      <c r="P14" t="s">
        <v>967</v>
      </c>
    </row>
    <row r="15" spans="1:16">
      <c r="A15">
        <f t="shared" si="0"/>
        <v>2</v>
      </c>
      <c r="B15" t="s">
        <v>940</v>
      </c>
      <c r="C15" t="s">
        <v>941</v>
      </c>
      <c r="D15" t="s">
        <v>968</v>
      </c>
      <c r="E15" t="s">
        <v>948</v>
      </c>
      <c r="F15" t="s">
        <v>940</v>
      </c>
      <c r="G15" t="s">
        <v>969</v>
      </c>
      <c r="H15" t="s">
        <v>970</v>
      </c>
      <c r="K15" s="30"/>
      <c r="L15" s="8">
        <v>42927.688391203701</v>
      </c>
      <c r="M15" s="21">
        <f>LEN(ProjTextTable[[#This Row],[text]])</f>
        <v>2257</v>
      </c>
      <c r="N15" s="21">
        <f>LEN(TRIM(CLEAN(SUBSTITUTE(ProjTextTable[[#This Row],[text]],CHAR(10)," "))))+1 - LEN(SUBSTITUTE(CLEAN(SUBSTITUTE(ProjTextTable[[#This Row],[text]],CHAR(10)," "))," ",""))</f>
        <v>336</v>
      </c>
      <c r="O15" t="s">
        <v>13</v>
      </c>
      <c r="P15" t="s">
        <v>971</v>
      </c>
    </row>
    <row r="16" spans="1:16">
      <c r="A16">
        <f t="shared" si="0"/>
        <v>3</v>
      </c>
      <c r="B16" t="s">
        <v>972</v>
      </c>
      <c r="C16" t="s">
        <v>973</v>
      </c>
      <c r="D16" t="s">
        <v>205</v>
      </c>
      <c r="E16" t="s">
        <v>543</v>
      </c>
      <c r="F16" t="s">
        <v>919</v>
      </c>
      <c r="G16" t="s">
        <v>920</v>
      </c>
      <c r="H16" t="s">
        <v>974</v>
      </c>
      <c r="I16" t="s">
        <v>200</v>
      </c>
      <c r="J16" t="s">
        <v>546</v>
      </c>
      <c r="K16" s="30">
        <v>42871</v>
      </c>
      <c r="L16" s="8"/>
      <c r="M16" s="21">
        <f>LEN(ProjTextTable[[#This Row],[text]])</f>
        <v>1</v>
      </c>
      <c r="N16" s="21">
        <f>LEN(TRIM(CLEAN(SUBSTITUTE(ProjTextTable[[#This Row],[text]],CHAR(10)," "))))+1 - LEN(SUBSTITUTE(CLEAN(SUBSTITUTE(ProjTextTable[[#This Row],[text]],CHAR(10)," "))," ",""))</f>
        <v>1</v>
      </c>
      <c r="O16" t="s">
        <v>975</v>
      </c>
      <c r="P16" t="s">
        <v>13</v>
      </c>
    </row>
    <row r="17" spans="1:16">
      <c r="A17">
        <f t="shared" si="0"/>
        <v>3</v>
      </c>
      <c r="B17" t="s">
        <v>972</v>
      </c>
      <c r="C17" t="s">
        <v>973</v>
      </c>
      <c r="D17" t="s">
        <v>951</v>
      </c>
      <c r="E17" t="s">
        <v>540</v>
      </c>
      <c r="F17" t="s">
        <v>972</v>
      </c>
      <c r="G17" t="s">
        <v>976</v>
      </c>
      <c r="H17" t="s">
        <v>13</v>
      </c>
      <c r="I17" t="s">
        <v>13</v>
      </c>
      <c r="J17" t="s">
        <v>396</v>
      </c>
      <c r="K17" s="30">
        <v>42957.678472222222</v>
      </c>
      <c r="L17" s="8">
        <v>44783.678472222222</v>
      </c>
      <c r="M17" s="21">
        <f>LEN(ProjTextTable[[#This Row],[text]])</f>
        <v>2107</v>
      </c>
      <c r="N17" s="21">
        <f>LEN(TRIM(CLEAN(SUBSTITUTE(ProjTextTable[[#This Row],[text]],CHAR(10)," "))))+1 - LEN(SUBSTITUTE(CLEAN(SUBSTITUTE(ProjTextTable[[#This Row],[text]],CHAR(10)," "))," ",""))</f>
        <v>332</v>
      </c>
      <c r="O17" t="s">
        <v>13</v>
      </c>
      <c r="P17" t="s">
        <v>977</v>
      </c>
    </row>
    <row r="18" spans="1:16">
      <c r="A18">
        <f t="shared" si="0"/>
        <v>3</v>
      </c>
      <c r="B18" t="s">
        <v>972</v>
      </c>
      <c r="C18" t="s">
        <v>973</v>
      </c>
      <c r="D18" t="s">
        <v>2</v>
      </c>
      <c r="E18" t="s">
        <v>540</v>
      </c>
      <c r="F18" t="s">
        <v>13</v>
      </c>
      <c r="G18" t="s">
        <v>925</v>
      </c>
      <c r="H18" t="s">
        <v>13</v>
      </c>
      <c r="I18" t="s">
        <v>13</v>
      </c>
      <c r="K18" s="30"/>
      <c r="L18" s="8">
        <v>42914.640243055554</v>
      </c>
      <c r="M18" s="21">
        <f>LEN(ProjTextTable[[#This Row],[text]])</f>
        <v>2149</v>
      </c>
      <c r="N18" s="21">
        <f>LEN(TRIM(CLEAN(SUBSTITUTE(ProjTextTable[[#This Row],[text]],CHAR(10)," "))))+1 - LEN(SUBSTITUTE(CLEAN(SUBSTITUTE(ProjTextTable[[#This Row],[text]],CHAR(10)," "))," ",""))</f>
        <v>314</v>
      </c>
      <c r="O18" t="s">
        <v>13</v>
      </c>
      <c r="P18" t="s">
        <v>978</v>
      </c>
    </row>
    <row r="19" spans="1:16">
      <c r="A19">
        <f t="shared" si="0"/>
        <v>3</v>
      </c>
      <c r="B19" t="s">
        <v>972</v>
      </c>
      <c r="C19" t="s">
        <v>973</v>
      </c>
      <c r="D19" t="s">
        <v>194</v>
      </c>
      <c r="E19" t="s">
        <v>543</v>
      </c>
      <c r="F19" t="s">
        <v>979</v>
      </c>
      <c r="G19" t="s">
        <v>980</v>
      </c>
      <c r="H19" t="s">
        <v>981</v>
      </c>
      <c r="I19" t="s">
        <v>95</v>
      </c>
      <c r="J19" t="s">
        <v>176</v>
      </c>
      <c r="K19" s="30">
        <v>42872</v>
      </c>
      <c r="L19" s="8">
        <v>42872.392164351855</v>
      </c>
      <c r="M19" s="21">
        <f>LEN(ProjTextTable[[#This Row],[text]])</f>
        <v>4452</v>
      </c>
      <c r="N19" s="21">
        <f>LEN(TRIM(CLEAN(SUBSTITUTE(ProjTextTable[[#This Row],[text]],CHAR(10)," "))))+1 - LEN(SUBSTITUTE(CLEAN(SUBSTITUTE(ProjTextTable[[#This Row],[text]],CHAR(10)," "))," ",""))</f>
        <v>705</v>
      </c>
      <c r="O19" t="s">
        <v>201</v>
      </c>
      <c r="P19" t="s">
        <v>982</v>
      </c>
    </row>
    <row r="20" spans="1:16">
      <c r="A20">
        <f t="shared" si="0"/>
        <v>3</v>
      </c>
      <c r="B20" t="s">
        <v>972</v>
      </c>
      <c r="C20" t="s">
        <v>973</v>
      </c>
      <c r="D20" t="s">
        <v>194</v>
      </c>
      <c r="E20" t="s">
        <v>543</v>
      </c>
      <c r="F20" t="s">
        <v>931</v>
      </c>
      <c r="G20" t="s">
        <v>932</v>
      </c>
      <c r="H20" t="s">
        <v>933</v>
      </c>
      <c r="I20" t="s">
        <v>95</v>
      </c>
      <c r="J20" t="s">
        <v>209</v>
      </c>
      <c r="K20" s="30">
        <v>42872</v>
      </c>
      <c r="L20" s="8">
        <v>42868.44258101852</v>
      </c>
      <c r="M20" s="21">
        <f>LEN(ProjTextTable[[#This Row],[text]])</f>
        <v>3032</v>
      </c>
      <c r="N20" s="21">
        <f>LEN(TRIM(CLEAN(SUBSTITUTE(ProjTextTable[[#This Row],[text]],CHAR(10)," "))))+1 - LEN(SUBSTITUTE(CLEAN(SUBSTITUTE(ProjTextTable[[#This Row],[text]],CHAR(10)," "))," ",""))</f>
        <v>423</v>
      </c>
      <c r="O20" t="s">
        <v>195</v>
      </c>
      <c r="P20" t="s">
        <v>983</v>
      </c>
    </row>
    <row r="21" spans="1:16">
      <c r="A21">
        <f t="shared" si="0"/>
        <v>3</v>
      </c>
      <c r="B21" t="s">
        <v>972</v>
      </c>
      <c r="C21" t="s">
        <v>973</v>
      </c>
      <c r="D21" t="s">
        <v>194</v>
      </c>
      <c r="E21" t="s">
        <v>543</v>
      </c>
      <c r="F21" t="s">
        <v>935</v>
      </c>
      <c r="G21" t="s">
        <v>936</v>
      </c>
      <c r="H21" t="s">
        <v>937</v>
      </c>
      <c r="I21" t="s">
        <v>95</v>
      </c>
      <c r="J21" t="s">
        <v>209</v>
      </c>
      <c r="K21" s="30">
        <v>42872</v>
      </c>
      <c r="L21" s="8">
        <v>42870.915416666663</v>
      </c>
      <c r="M21" s="21">
        <f>LEN(ProjTextTable[[#This Row],[text]])</f>
        <v>8519</v>
      </c>
      <c r="N21" s="21">
        <f>LEN(TRIM(CLEAN(SUBSTITUTE(ProjTextTable[[#This Row],[text]],CHAR(10)," "))))+1 - LEN(SUBSTITUTE(CLEAN(SUBSTITUTE(ProjTextTable[[#This Row],[text]],CHAR(10)," "))," ",""))</f>
        <v>1176</v>
      </c>
      <c r="O21" t="s">
        <v>195</v>
      </c>
      <c r="P21" t="s">
        <v>984</v>
      </c>
    </row>
    <row r="22" spans="1:16">
      <c r="A22">
        <f t="shared" si="0"/>
        <v>4</v>
      </c>
      <c r="B22" t="s">
        <v>985</v>
      </c>
      <c r="C22" t="s">
        <v>986</v>
      </c>
      <c r="D22" t="s">
        <v>205</v>
      </c>
      <c r="E22" t="s">
        <v>543</v>
      </c>
      <c r="F22" t="s">
        <v>919</v>
      </c>
      <c r="G22" t="s">
        <v>920</v>
      </c>
      <c r="H22" t="s">
        <v>974</v>
      </c>
      <c r="I22" t="s">
        <v>200</v>
      </c>
      <c r="J22" t="s">
        <v>546</v>
      </c>
      <c r="K22" s="30">
        <v>42871</v>
      </c>
      <c r="L22" s="8"/>
      <c r="M22" s="21">
        <f>LEN(ProjTextTable[[#This Row],[text]])</f>
        <v>1</v>
      </c>
      <c r="N22" s="21">
        <f>LEN(TRIM(CLEAN(SUBSTITUTE(ProjTextTable[[#This Row],[text]],CHAR(10)," "))))+1 - LEN(SUBSTITUTE(CLEAN(SUBSTITUTE(ProjTextTable[[#This Row],[text]],CHAR(10)," "))," ",""))</f>
        <v>1</v>
      </c>
      <c r="O22" t="s">
        <v>975</v>
      </c>
      <c r="P22" t="s">
        <v>13</v>
      </c>
    </row>
    <row r="23" spans="1:16">
      <c r="A23">
        <f t="shared" si="0"/>
        <v>4</v>
      </c>
      <c r="B23" t="s">
        <v>985</v>
      </c>
      <c r="C23" t="s">
        <v>986</v>
      </c>
      <c r="D23" t="s">
        <v>951</v>
      </c>
      <c r="E23" t="s">
        <v>543</v>
      </c>
      <c r="F23" t="s">
        <v>985</v>
      </c>
      <c r="G23" t="s">
        <v>987</v>
      </c>
      <c r="H23" t="s">
        <v>13</v>
      </c>
      <c r="I23" t="s">
        <v>13</v>
      </c>
      <c r="J23" t="s">
        <v>396</v>
      </c>
      <c r="K23" s="30">
        <v>42955.353472222225</v>
      </c>
      <c r="L23" s="8">
        <v>44781.353472222225</v>
      </c>
      <c r="M23" s="21">
        <f>LEN(ProjTextTable[[#This Row],[text]])</f>
        <v>249</v>
      </c>
      <c r="N23" s="21">
        <f>LEN(TRIM(CLEAN(SUBSTITUTE(ProjTextTable[[#This Row],[text]],CHAR(10)," "))))+1 - LEN(SUBSTITUTE(CLEAN(SUBSTITUTE(ProjTextTable[[#This Row],[text]],CHAR(10)," "))," ",""))</f>
        <v>41</v>
      </c>
      <c r="O23" t="s">
        <v>13</v>
      </c>
      <c r="P23" t="s">
        <v>988</v>
      </c>
    </row>
    <row r="24" spans="1:16">
      <c r="A24">
        <f t="shared" si="0"/>
        <v>4</v>
      </c>
      <c r="B24" t="s">
        <v>985</v>
      </c>
      <c r="C24" t="s">
        <v>986</v>
      </c>
      <c r="D24" t="s">
        <v>2</v>
      </c>
      <c r="E24" t="s">
        <v>543</v>
      </c>
      <c r="F24" t="s">
        <v>13</v>
      </c>
      <c r="G24" t="s">
        <v>925</v>
      </c>
      <c r="H24" t="s">
        <v>13</v>
      </c>
      <c r="I24" t="s">
        <v>13</v>
      </c>
      <c r="K24" s="30"/>
      <c r="L24" s="8">
        <v>42951.514120370368</v>
      </c>
      <c r="M24" s="21">
        <f>LEN(ProjTextTable[[#This Row],[text]])</f>
        <v>4592</v>
      </c>
      <c r="N24" s="21">
        <f>LEN(TRIM(CLEAN(SUBSTITUTE(ProjTextTable[[#This Row],[text]],CHAR(10)," "))))+1 - LEN(SUBSTITUTE(CLEAN(SUBSTITUTE(ProjTextTable[[#This Row],[text]],CHAR(10)," "))," ",""))</f>
        <v>679</v>
      </c>
      <c r="O24" t="s">
        <v>13</v>
      </c>
      <c r="P24" t="s">
        <v>926</v>
      </c>
    </row>
    <row r="25" spans="1:16">
      <c r="A25">
        <f t="shared" si="0"/>
        <v>4</v>
      </c>
      <c r="B25" t="s">
        <v>985</v>
      </c>
      <c r="C25" t="s">
        <v>986</v>
      </c>
      <c r="D25" t="s">
        <v>194</v>
      </c>
      <c r="E25" t="s">
        <v>543</v>
      </c>
      <c r="F25" t="s">
        <v>989</v>
      </c>
      <c r="G25" t="s">
        <v>990</v>
      </c>
      <c r="H25" t="s">
        <v>991</v>
      </c>
      <c r="I25" t="s">
        <v>95</v>
      </c>
      <c r="J25" t="s">
        <v>176</v>
      </c>
      <c r="K25" s="30">
        <v>42872</v>
      </c>
      <c r="L25" s="8">
        <v>42872.458402777775</v>
      </c>
      <c r="M25" s="21">
        <f>LEN(ProjTextTable[[#This Row],[text]])</f>
        <v>6622</v>
      </c>
      <c r="N25" s="21">
        <f>LEN(TRIM(CLEAN(SUBSTITUTE(ProjTextTable[[#This Row],[text]],CHAR(10)," "))))+1 - LEN(SUBSTITUTE(CLEAN(SUBSTITUTE(ProjTextTable[[#This Row],[text]],CHAR(10)," "))," ",""))</f>
        <v>1064</v>
      </c>
      <c r="O25" t="s">
        <v>201</v>
      </c>
      <c r="P25" t="s">
        <v>992</v>
      </c>
    </row>
    <row r="26" spans="1:16">
      <c r="A26">
        <f t="shared" si="0"/>
        <v>4</v>
      </c>
      <c r="B26" t="s">
        <v>985</v>
      </c>
      <c r="C26" t="s">
        <v>986</v>
      </c>
      <c r="D26" t="s">
        <v>194</v>
      </c>
      <c r="E26" t="s">
        <v>543</v>
      </c>
      <c r="F26" t="s">
        <v>993</v>
      </c>
      <c r="G26" t="s">
        <v>994</v>
      </c>
      <c r="H26" t="s">
        <v>995</v>
      </c>
      <c r="I26" t="s">
        <v>95</v>
      </c>
      <c r="J26" t="s">
        <v>176</v>
      </c>
      <c r="K26" s="30">
        <v>42872</v>
      </c>
      <c r="L26" s="8">
        <v>42872.276736111111</v>
      </c>
      <c r="M26" s="21">
        <f>LEN(ProjTextTable[[#This Row],[text]])</f>
        <v>3733</v>
      </c>
      <c r="N26" s="21">
        <f>LEN(TRIM(CLEAN(SUBSTITUTE(ProjTextTable[[#This Row],[text]],CHAR(10)," "))))+1 - LEN(SUBSTITUTE(CLEAN(SUBSTITUTE(ProjTextTable[[#This Row],[text]],CHAR(10)," "))," ",""))</f>
        <v>592</v>
      </c>
      <c r="O26" t="s">
        <v>201</v>
      </c>
      <c r="P26" t="s">
        <v>996</v>
      </c>
    </row>
    <row r="27" spans="1:16">
      <c r="A27">
        <f t="shared" si="0"/>
        <v>4</v>
      </c>
      <c r="B27" t="s">
        <v>985</v>
      </c>
      <c r="C27" t="s">
        <v>986</v>
      </c>
      <c r="D27" t="s">
        <v>194</v>
      </c>
      <c r="E27" t="s">
        <v>543</v>
      </c>
      <c r="F27" t="s">
        <v>997</v>
      </c>
      <c r="G27" t="s">
        <v>998</v>
      </c>
      <c r="H27" t="s">
        <v>999</v>
      </c>
      <c r="I27" t="s">
        <v>95</v>
      </c>
      <c r="J27" t="s">
        <v>176</v>
      </c>
      <c r="K27" s="30">
        <v>42872</v>
      </c>
      <c r="L27" s="8">
        <v>42871.868738425925</v>
      </c>
      <c r="M27" s="21">
        <f>LEN(ProjTextTable[[#This Row],[text]])</f>
        <v>7812</v>
      </c>
      <c r="N27" s="21">
        <f>LEN(TRIM(CLEAN(SUBSTITUTE(ProjTextTable[[#This Row],[text]],CHAR(10)," "))))+1 - LEN(SUBSTITUTE(CLEAN(SUBSTITUTE(ProjTextTable[[#This Row],[text]],CHAR(10)," "))," ",""))</f>
        <v>1250</v>
      </c>
      <c r="O27" t="s">
        <v>195</v>
      </c>
      <c r="P27" t="s">
        <v>1000</v>
      </c>
    </row>
    <row r="28" spans="1:16">
      <c r="A28">
        <f t="shared" si="0"/>
        <v>4</v>
      </c>
      <c r="B28" t="s">
        <v>985</v>
      </c>
      <c r="C28" t="s">
        <v>986</v>
      </c>
      <c r="D28" t="s">
        <v>196</v>
      </c>
      <c r="E28" t="s">
        <v>543</v>
      </c>
      <c r="F28" t="s">
        <v>13</v>
      </c>
      <c r="G28" t="s">
        <v>13</v>
      </c>
      <c r="H28" t="s">
        <v>13</v>
      </c>
      <c r="K28" s="30"/>
      <c r="L28" s="8">
        <v>42808.042314814818</v>
      </c>
      <c r="M28" s="21">
        <f>LEN(ProjTextTable[[#This Row],[text]])</f>
        <v>4204</v>
      </c>
      <c r="N28" s="21">
        <f>LEN(TRIM(CLEAN(SUBSTITUTE(ProjTextTable[[#This Row],[text]],CHAR(10)," "))))+1 - LEN(SUBSTITUTE(CLEAN(SUBSTITUTE(ProjTextTable[[#This Row],[text]],CHAR(10)," "))," ",""))</f>
        <v>577</v>
      </c>
      <c r="O28" t="s">
        <v>13</v>
      </c>
      <c r="P28" t="s">
        <v>1001</v>
      </c>
    </row>
    <row r="29" spans="1:16">
      <c r="A29">
        <f t="shared" si="0"/>
        <v>5</v>
      </c>
      <c r="B29" t="s">
        <v>1002</v>
      </c>
      <c r="C29" t="s">
        <v>1003</v>
      </c>
      <c r="D29" t="s">
        <v>205</v>
      </c>
      <c r="E29" t="s">
        <v>942</v>
      </c>
      <c r="F29" t="s">
        <v>943</v>
      </c>
      <c r="G29" t="s">
        <v>944</v>
      </c>
      <c r="H29" t="s">
        <v>1004</v>
      </c>
      <c r="I29" t="s">
        <v>197</v>
      </c>
      <c r="J29" t="s">
        <v>668</v>
      </c>
      <c r="K29" s="30">
        <v>42877</v>
      </c>
      <c r="L29" s="8">
        <v>42955.576469907406</v>
      </c>
      <c r="M29" s="21">
        <f>LEN(ProjTextTable[[#This Row],[text]])</f>
        <v>4936</v>
      </c>
      <c r="N29" s="21">
        <f>LEN(TRIM(CLEAN(SUBSTITUTE(ProjTextTable[[#This Row],[text]],CHAR(10)," "))))+1 - LEN(SUBSTITUTE(CLEAN(SUBSTITUTE(ProjTextTable[[#This Row],[text]],CHAR(10)," "))," ",""))</f>
        <v>718</v>
      </c>
      <c r="O29" t="s">
        <v>176</v>
      </c>
      <c r="P29" t="s">
        <v>1005</v>
      </c>
    </row>
    <row r="30" spans="1:16">
      <c r="A30">
        <f t="shared" si="0"/>
        <v>5</v>
      </c>
      <c r="B30" t="s">
        <v>1002</v>
      </c>
      <c r="C30" t="s">
        <v>1003</v>
      </c>
      <c r="D30" t="s">
        <v>951</v>
      </c>
      <c r="E30" t="s">
        <v>942</v>
      </c>
      <c r="F30" t="s">
        <v>1002</v>
      </c>
      <c r="G30" t="s">
        <v>969</v>
      </c>
      <c r="H30" t="s">
        <v>13</v>
      </c>
      <c r="I30" t="s">
        <v>13</v>
      </c>
      <c r="J30" t="s">
        <v>396</v>
      </c>
      <c r="K30" s="30">
        <v>42957.713888888888</v>
      </c>
      <c r="L30" s="8">
        <v>44783.713888888888</v>
      </c>
      <c r="M30" s="21">
        <f>LEN(ProjTextTable[[#This Row],[text]])</f>
        <v>6036</v>
      </c>
      <c r="N30" s="21">
        <f>LEN(TRIM(CLEAN(SUBSTITUTE(ProjTextTable[[#This Row],[text]],CHAR(10)," "))))+1 - LEN(SUBSTITUTE(CLEAN(SUBSTITUTE(ProjTextTable[[#This Row],[text]],CHAR(10)," "))," ",""))</f>
        <v>860</v>
      </c>
      <c r="O30" t="s">
        <v>13</v>
      </c>
      <c r="P30" t="s">
        <v>1006</v>
      </c>
    </row>
    <row r="31" spans="1:16">
      <c r="A31">
        <f t="shared" si="0"/>
        <v>5</v>
      </c>
      <c r="B31" t="s">
        <v>1002</v>
      </c>
      <c r="C31" t="s">
        <v>892</v>
      </c>
      <c r="D31" t="s">
        <v>951</v>
      </c>
      <c r="E31" t="s">
        <v>942</v>
      </c>
      <c r="F31" t="s">
        <v>1007</v>
      </c>
      <c r="G31" t="s">
        <v>969</v>
      </c>
      <c r="H31" t="s">
        <v>13</v>
      </c>
      <c r="I31" t="s">
        <v>13</v>
      </c>
      <c r="J31" t="s">
        <v>396</v>
      </c>
      <c r="K31" s="30">
        <v>42957.713194444441</v>
      </c>
      <c r="L31" s="8">
        <v>44783.713194444441</v>
      </c>
      <c r="M31" s="21">
        <f>LEN(ProjTextTable[[#This Row],[text]])</f>
        <v>6032</v>
      </c>
      <c r="N31" s="21">
        <f>LEN(TRIM(CLEAN(SUBSTITUTE(ProjTextTable[[#This Row],[text]],CHAR(10)," "))))+1 - LEN(SUBSTITUTE(CLEAN(SUBSTITUTE(ProjTextTable[[#This Row],[text]],CHAR(10)," "))," ",""))</f>
        <v>860</v>
      </c>
      <c r="O31" t="s">
        <v>13</v>
      </c>
      <c r="P31" t="s">
        <v>1008</v>
      </c>
    </row>
    <row r="32" spans="1:16">
      <c r="A32">
        <f t="shared" si="0"/>
        <v>5</v>
      </c>
      <c r="B32" t="s">
        <v>1002</v>
      </c>
      <c r="C32" t="s">
        <v>1003</v>
      </c>
      <c r="D32" t="s">
        <v>194</v>
      </c>
      <c r="E32" t="s">
        <v>543</v>
      </c>
      <c r="F32" t="s">
        <v>959</v>
      </c>
      <c r="G32" t="s">
        <v>960</v>
      </c>
      <c r="H32" t="s">
        <v>961</v>
      </c>
      <c r="I32" t="s">
        <v>209</v>
      </c>
      <c r="J32" t="s">
        <v>176</v>
      </c>
      <c r="K32" s="30">
        <v>42878</v>
      </c>
      <c r="L32" s="8">
        <v>42874.471400462964</v>
      </c>
      <c r="M32" s="21">
        <f>LEN(ProjTextTable[[#This Row],[text]])</f>
        <v>694</v>
      </c>
      <c r="N32" s="21">
        <f>LEN(TRIM(CLEAN(SUBSTITUTE(ProjTextTable[[#This Row],[text]],CHAR(10)," "))))+1 - LEN(SUBSTITUTE(CLEAN(SUBSTITUTE(ProjTextTable[[#This Row],[text]],CHAR(10)," "))," ",""))</f>
        <v>105</v>
      </c>
      <c r="O32" t="s">
        <v>176</v>
      </c>
      <c r="P32" t="s">
        <v>1009</v>
      </c>
    </row>
    <row r="33" spans="1:16">
      <c r="A33">
        <f t="shared" si="0"/>
        <v>5</v>
      </c>
      <c r="B33" t="s">
        <v>1002</v>
      </c>
      <c r="C33" t="s">
        <v>1003</v>
      </c>
      <c r="D33" t="s">
        <v>194</v>
      </c>
      <c r="E33" t="s">
        <v>543</v>
      </c>
      <c r="F33" t="s">
        <v>1010</v>
      </c>
      <c r="G33" t="s">
        <v>1011</v>
      </c>
      <c r="H33" t="s">
        <v>1012</v>
      </c>
      <c r="I33" t="s">
        <v>95</v>
      </c>
      <c r="J33" t="s">
        <v>176</v>
      </c>
      <c r="K33" s="30">
        <v>42878</v>
      </c>
      <c r="L33" s="8">
        <v>42876.843032407407</v>
      </c>
      <c r="M33" s="21">
        <f>LEN(ProjTextTable[[#This Row],[text]])</f>
        <v>1896</v>
      </c>
      <c r="N33" s="21">
        <f>LEN(TRIM(CLEAN(SUBSTITUTE(ProjTextTable[[#This Row],[text]],CHAR(10)," "))))+1 - LEN(SUBSTITUTE(CLEAN(SUBSTITUTE(ProjTextTable[[#This Row],[text]],CHAR(10)," "))," ",""))</f>
        <v>271</v>
      </c>
      <c r="O33" t="s">
        <v>251</v>
      </c>
      <c r="P33" t="s">
        <v>1013</v>
      </c>
    </row>
    <row r="34" spans="1:16">
      <c r="A34">
        <f t="shared" si="0"/>
        <v>5</v>
      </c>
      <c r="B34" t="s">
        <v>1002</v>
      </c>
      <c r="C34" t="s">
        <v>1003</v>
      </c>
      <c r="D34" t="s">
        <v>194</v>
      </c>
      <c r="E34" t="s">
        <v>543</v>
      </c>
      <c r="F34" t="s">
        <v>1014</v>
      </c>
      <c r="G34" t="s">
        <v>1015</v>
      </c>
      <c r="H34" t="s">
        <v>1016</v>
      </c>
      <c r="I34" t="s">
        <v>95</v>
      </c>
      <c r="J34" t="s">
        <v>176</v>
      </c>
      <c r="K34" s="30">
        <v>42878</v>
      </c>
      <c r="L34" s="8">
        <v>42878.456863425927</v>
      </c>
      <c r="M34" s="21">
        <f>LEN(ProjTextTable[[#This Row],[text]])</f>
        <v>1554</v>
      </c>
      <c r="N34" s="21">
        <f>LEN(TRIM(CLEAN(SUBSTITUTE(ProjTextTable[[#This Row],[text]],CHAR(10)," "))))+1 - LEN(SUBSTITUTE(CLEAN(SUBSTITUTE(ProjTextTable[[#This Row],[text]],CHAR(10)," "))," ",""))</f>
        <v>225</v>
      </c>
      <c r="O34" t="s">
        <v>201</v>
      </c>
      <c r="P34" t="s">
        <v>1017</v>
      </c>
    </row>
    <row r="35" spans="1:16">
      <c r="A35">
        <f t="shared" si="0"/>
        <v>5</v>
      </c>
      <c r="B35" t="s">
        <v>1002</v>
      </c>
      <c r="C35" t="s">
        <v>1003</v>
      </c>
      <c r="D35" t="s">
        <v>194</v>
      </c>
      <c r="E35" t="s">
        <v>543</v>
      </c>
      <c r="F35" t="s">
        <v>1018</v>
      </c>
      <c r="G35" t="s">
        <v>1019</v>
      </c>
      <c r="H35" t="s">
        <v>1020</v>
      </c>
      <c r="I35" t="s">
        <v>95</v>
      </c>
      <c r="J35" t="s">
        <v>176</v>
      </c>
      <c r="K35" s="30">
        <v>42878</v>
      </c>
      <c r="L35" s="8">
        <v>42877.580509259256</v>
      </c>
      <c r="M35" s="21">
        <f>LEN(ProjTextTable[[#This Row],[text]])</f>
        <v>1833</v>
      </c>
      <c r="N35" s="21">
        <f>LEN(TRIM(CLEAN(SUBSTITUTE(ProjTextTable[[#This Row],[text]],CHAR(10)," "))))+1 - LEN(SUBSTITUTE(CLEAN(SUBSTITUTE(ProjTextTable[[#This Row],[text]],CHAR(10)," "))," ",""))</f>
        <v>273</v>
      </c>
      <c r="O35" t="s">
        <v>202</v>
      </c>
      <c r="P35" t="s">
        <v>1021</v>
      </c>
    </row>
    <row r="36" spans="1:16">
      <c r="A36">
        <f t="shared" si="0"/>
        <v>5</v>
      </c>
      <c r="B36" t="s">
        <v>1002</v>
      </c>
      <c r="C36" t="s">
        <v>1003</v>
      </c>
      <c r="D36" t="s">
        <v>196</v>
      </c>
      <c r="E36" t="s">
        <v>942</v>
      </c>
      <c r="F36" t="s">
        <v>13</v>
      </c>
      <c r="G36" t="s">
        <v>13</v>
      </c>
      <c r="H36" t="s">
        <v>13</v>
      </c>
      <c r="K36" s="30"/>
      <c r="L36" s="8">
        <v>42808.042337962965</v>
      </c>
      <c r="M36" s="21">
        <f>LEN(ProjTextTable[[#This Row],[text]])</f>
        <v>3156</v>
      </c>
      <c r="N36" s="21">
        <f>LEN(TRIM(CLEAN(SUBSTITUTE(ProjTextTable[[#This Row],[text]],CHAR(10)," "))))+1 - LEN(SUBSTITUTE(CLEAN(SUBSTITUTE(ProjTextTable[[#This Row],[text]],CHAR(10)," "))," ",""))</f>
        <v>457</v>
      </c>
      <c r="O36" t="s">
        <v>13</v>
      </c>
      <c r="P36" t="s">
        <v>1022</v>
      </c>
    </row>
    <row r="37" spans="1:16">
      <c r="A37">
        <f t="shared" si="0"/>
        <v>6</v>
      </c>
      <c r="B37" t="s">
        <v>1023</v>
      </c>
      <c r="C37" t="s">
        <v>1024</v>
      </c>
      <c r="D37" t="s">
        <v>205</v>
      </c>
      <c r="E37" t="s">
        <v>543</v>
      </c>
      <c r="F37" t="s">
        <v>919</v>
      </c>
      <c r="G37" t="s">
        <v>920</v>
      </c>
      <c r="H37" t="s">
        <v>974</v>
      </c>
      <c r="I37" t="s">
        <v>200</v>
      </c>
      <c r="J37" t="s">
        <v>546</v>
      </c>
      <c r="K37" s="30">
        <v>42871</v>
      </c>
      <c r="L37" s="8"/>
      <c r="M37" s="21">
        <f>LEN(ProjTextTable[[#This Row],[text]])</f>
        <v>1</v>
      </c>
      <c r="N37" s="21">
        <f>LEN(TRIM(CLEAN(SUBSTITUTE(ProjTextTable[[#This Row],[text]],CHAR(10)," "))))+1 - LEN(SUBSTITUTE(CLEAN(SUBSTITUTE(ProjTextTable[[#This Row],[text]],CHAR(10)," "))," ",""))</f>
        <v>1</v>
      </c>
      <c r="O37" t="s">
        <v>975</v>
      </c>
      <c r="P37" t="s">
        <v>13</v>
      </c>
    </row>
    <row r="38" spans="1:16">
      <c r="A38">
        <f t="shared" si="0"/>
        <v>6</v>
      </c>
      <c r="B38" t="s">
        <v>1023</v>
      </c>
      <c r="C38" t="s">
        <v>1024</v>
      </c>
      <c r="D38" t="s">
        <v>951</v>
      </c>
      <c r="E38" t="s">
        <v>543</v>
      </c>
      <c r="F38" t="s">
        <v>1023</v>
      </c>
      <c r="G38" t="s">
        <v>987</v>
      </c>
      <c r="H38" t="s">
        <v>13</v>
      </c>
      <c r="I38" t="s">
        <v>13</v>
      </c>
      <c r="J38" t="s">
        <v>396</v>
      </c>
      <c r="K38" s="30">
        <v>42955.354166666664</v>
      </c>
      <c r="L38" s="8">
        <v>44781.354166666664</v>
      </c>
      <c r="M38" s="21">
        <f>LEN(ProjTextTable[[#This Row],[text]])</f>
        <v>249</v>
      </c>
      <c r="N38" s="21">
        <f>LEN(TRIM(CLEAN(SUBSTITUTE(ProjTextTable[[#This Row],[text]],CHAR(10)," "))))+1 - LEN(SUBSTITUTE(CLEAN(SUBSTITUTE(ProjTextTable[[#This Row],[text]],CHAR(10)," "))," ",""))</f>
        <v>41</v>
      </c>
      <c r="O38" t="s">
        <v>13</v>
      </c>
      <c r="P38" t="s">
        <v>1025</v>
      </c>
    </row>
    <row r="39" spans="1:16">
      <c r="A39">
        <f t="shared" si="0"/>
        <v>6</v>
      </c>
      <c r="B39" t="s">
        <v>1023</v>
      </c>
      <c r="C39" t="s">
        <v>1024</v>
      </c>
      <c r="D39" t="s">
        <v>2</v>
      </c>
      <c r="E39" t="s">
        <v>543</v>
      </c>
      <c r="F39" t="s">
        <v>13</v>
      </c>
      <c r="G39" t="s">
        <v>925</v>
      </c>
      <c r="H39" t="s">
        <v>13</v>
      </c>
      <c r="I39" t="s">
        <v>13</v>
      </c>
      <c r="K39" s="30"/>
      <c r="L39" s="8">
        <v>42951.518680555557</v>
      </c>
      <c r="M39" s="21">
        <f>LEN(ProjTextTable[[#This Row],[text]])</f>
        <v>4592</v>
      </c>
      <c r="N39" s="21">
        <f>LEN(TRIM(CLEAN(SUBSTITUTE(ProjTextTable[[#This Row],[text]],CHAR(10)," "))))+1 - LEN(SUBSTITUTE(CLEAN(SUBSTITUTE(ProjTextTable[[#This Row],[text]],CHAR(10)," "))," ",""))</f>
        <v>679</v>
      </c>
      <c r="O39" t="s">
        <v>13</v>
      </c>
      <c r="P39" t="s">
        <v>926</v>
      </c>
    </row>
    <row r="40" spans="1:16">
      <c r="A40">
        <f t="shared" si="0"/>
        <v>6</v>
      </c>
      <c r="B40" t="s">
        <v>1023</v>
      </c>
      <c r="C40" t="s">
        <v>1024</v>
      </c>
      <c r="D40" t="s">
        <v>194</v>
      </c>
      <c r="E40" t="s">
        <v>543</v>
      </c>
      <c r="F40" t="s">
        <v>927</v>
      </c>
      <c r="G40" t="s">
        <v>928</v>
      </c>
      <c r="H40" t="s">
        <v>929</v>
      </c>
      <c r="I40" t="s">
        <v>95</v>
      </c>
      <c r="J40" t="s">
        <v>176</v>
      </c>
      <c r="K40" s="30">
        <v>42872</v>
      </c>
      <c r="L40" s="8">
        <v>42868.61440972222</v>
      </c>
      <c r="M40" s="21">
        <f>LEN(ProjTextTable[[#This Row],[text]])</f>
        <v>4801</v>
      </c>
      <c r="N40" s="21">
        <f>LEN(TRIM(CLEAN(SUBSTITUTE(ProjTextTable[[#This Row],[text]],CHAR(10)," "))))+1 - LEN(SUBSTITUTE(CLEAN(SUBSTITUTE(ProjTextTable[[#This Row],[text]],CHAR(10)," "))," ",""))</f>
        <v>697</v>
      </c>
      <c r="O40" t="s">
        <v>195</v>
      </c>
      <c r="P40" t="s">
        <v>1026</v>
      </c>
    </row>
    <row r="41" spans="1:16">
      <c r="A41">
        <f t="shared" si="0"/>
        <v>6</v>
      </c>
      <c r="B41" t="s">
        <v>1023</v>
      </c>
      <c r="C41" t="s">
        <v>1024</v>
      </c>
      <c r="D41" t="s">
        <v>194</v>
      </c>
      <c r="E41" t="s">
        <v>543</v>
      </c>
      <c r="F41" t="s">
        <v>993</v>
      </c>
      <c r="G41" t="s">
        <v>994</v>
      </c>
      <c r="H41" t="s">
        <v>995</v>
      </c>
      <c r="I41" t="s">
        <v>95</v>
      </c>
      <c r="J41" t="s">
        <v>176</v>
      </c>
      <c r="K41" s="30">
        <v>42872</v>
      </c>
      <c r="L41" s="8">
        <v>42861.907708333332</v>
      </c>
      <c r="M41" s="21">
        <f>LEN(ProjTextTable[[#This Row],[text]])</f>
        <v>4282</v>
      </c>
      <c r="N41" s="21">
        <f>LEN(TRIM(CLEAN(SUBSTITUTE(ProjTextTable[[#This Row],[text]],CHAR(10)," "))))+1 - LEN(SUBSTITUTE(CLEAN(SUBSTITUTE(ProjTextTable[[#This Row],[text]],CHAR(10)," "))," ",""))</f>
        <v>661</v>
      </c>
      <c r="O41" t="s">
        <v>195</v>
      </c>
      <c r="P41" t="s">
        <v>1027</v>
      </c>
    </row>
    <row r="42" spans="1:16">
      <c r="A42">
        <f t="shared" si="0"/>
        <v>6</v>
      </c>
      <c r="B42" t="s">
        <v>1023</v>
      </c>
      <c r="C42" t="s">
        <v>1024</v>
      </c>
      <c r="D42" t="s">
        <v>194</v>
      </c>
      <c r="E42" t="s">
        <v>543</v>
      </c>
      <c r="F42" t="s">
        <v>997</v>
      </c>
      <c r="G42" t="s">
        <v>998</v>
      </c>
      <c r="H42" t="s">
        <v>999</v>
      </c>
      <c r="I42" t="s">
        <v>95</v>
      </c>
      <c r="J42" t="s">
        <v>176</v>
      </c>
      <c r="K42" s="30">
        <v>42872</v>
      </c>
      <c r="L42" s="8">
        <v>42871.922523148147</v>
      </c>
      <c r="M42" s="21">
        <f>LEN(ProjTextTable[[#This Row],[text]])</f>
        <v>5655</v>
      </c>
      <c r="N42" s="21">
        <f>LEN(TRIM(CLEAN(SUBSTITUTE(ProjTextTable[[#This Row],[text]],CHAR(10)," "))))+1 - LEN(SUBSTITUTE(CLEAN(SUBSTITUTE(ProjTextTable[[#This Row],[text]],CHAR(10)," "))," ",""))</f>
        <v>879</v>
      </c>
      <c r="O42" t="s">
        <v>203</v>
      </c>
      <c r="P42" t="s">
        <v>1028</v>
      </c>
    </row>
    <row r="43" spans="1:16">
      <c r="A43">
        <f t="shared" si="0"/>
        <v>6</v>
      </c>
      <c r="B43" t="s">
        <v>1023</v>
      </c>
      <c r="C43" t="s">
        <v>1024</v>
      </c>
      <c r="D43" t="s">
        <v>196</v>
      </c>
      <c r="E43" t="s">
        <v>543</v>
      </c>
      <c r="F43" t="s">
        <v>13</v>
      </c>
      <c r="G43" t="s">
        <v>13</v>
      </c>
      <c r="H43" t="s">
        <v>13</v>
      </c>
      <c r="K43" s="30"/>
      <c r="L43" s="8">
        <v>42810.042233796295</v>
      </c>
      <c r="M43" s="21">
        <f>LEN(ProjTextTable[[#This Row],[text]])</f>
        <v>4031</v>
      </c>
      <c r="N43" s="21">
        <f>LEN(TRIM(CLEAN(SUBSTITUTE(ProjTextTable[[#This Row],[text]],CHAR(10)," "))))+1 - LEN(SUBSTITUTE(CLEAN(SUBSTITUTE(ProjTextTable[[#This Row],[text]],CHAR(10)," "))," ",""))</f>
        <v>568</v>
      </c>
      <c r="O43" t="s">
        <v>13</v>
      </c>
      <c r="P43" t="s">
        <v>1029</v>
      </c>
    </row>
    <row r="44" spans="1:16">
      <c r="A44">
        <f t="shared" si="0"/>
        <v>7</v>
      </c>
      <c r="B44" t="s">
        <v>1030</v>
      </c>
      <c r="C44" t="s">
        <v>1031</v>
      </c>
      <c r="D44" t="s">
        <v>205</v>
      </c>
      <c r="E44" t="s">
        <v>942</v>
      </c>
      <c r="F44" t="s">
        <v>943</v>
      </c>
      <c r="G44" t="s">
        <v>944</v>
      </c>
      <c r="H44" t="s">
        <v>921</v>
      </c>
      <c r="I44" t="s">
        <v>193</v>
      </c>
      <c r="J44" t="s">
        <v>396</v>
      </c>
      <c r="K44" s="30">
        <v>42877</v>
      </c>
      <c r="L44" s="8">
        <v>42916.815636574072</v>
      </c>
      <c r="M44" s="21">
        <f>LEN(ProjTextTable[[#This Row],[text]])</f>
        <v>3158</v>
      </c>
      <c r="N44" s="21">
        <f>LEN(TRIM(CLEAN(SUBSTITUTE(ProjTextTable[[#This Row],[text]],CHAR(10)," "))))+1 - LEN(SUBSTITUTE(CLEAN(SUBSTITUTE(ProjTextTable[[#This Row],[text]],CHAR(10)," "))," ",""))</f>
        <v>449</v>
      </c>
      <c r="O44" t="s">
        <v>923</v>
      </c>
      <c r="P44" t="s">
        <v>1032</v>
      </c>
    </row>
    <row r="45" spans="1:16">
      <c r="A45">
        <f t="shared" si="0"/>
        <v>7</v>
      </c>
      <c r="B45" t="s">
        <v>1030</v>
      </c>
      <c r="C45" t="s">
        <v>1031</v>
      </c>
      <c r="D45" t="s">
        <v>951</v>
      </c>
      <c r="E45" t="s">
        <v>948</v>
      </c>
      <c r="F45" t="s">
        <v>1030</v>
      </c>
      <c r="G45" t="s">
        <v>952</v>
      </c>
      <c r="H45" t="s">
        <v>13</v>
      </c>
      <c r="I45" t="s">
        <v>13</v>
      </c>
      <c r="J45" t="s">
        <v>396</v>
      </c>
      <c r="K45" s="30">
        <v>42955.682638888888</v>
      </c>
      <c r="L45" s="8">
        <v>44781.682638888888</v>
      </c>
      <c r="M45" s="21">
        <f>LEN(ProjTextTable[[#This Row],[text]])</f>
        <v>5829</v>
      </c>
      <c r="N45" s="21">
        <f>LEN(TRIM(CLEAN(SUBSTITUTE(ProjTextTable[[#This Row],[text]],CHAR(10)," "))))+1 - LEN(SUBSTITUTE(CLEAN(SUBSTITUTE(ProjTextTable[[#This Row],[text]],CHAR(10)," "))," ",""))</f>
        <v>860</v>
      </c>
      <c r="O45" t="s">
        <v>13</v>
      </c>
      <c r="P45" t="s">
        <v>1033</v>
      </c>
    </row>
    <row r="46" spans="1:16">
      <c r="A46">
        <f t="shared" si="0"/>
        <v>7</v>
      </c>
      <c r="B46" t="s">
        <v>1030</v>
      </c>
      <c r="C46" t="s">
        <v>1031</v>
      </c>
      <c r="D46" t="s">
        <v>194</v>
      </c>
      <c r="E46" t="s">
        <v>543</v>
      </c>
      <c r="F46" t="s">
        <v>955</v>
      </c>
      <c r="G46" t="s">
        <v>956</v>
      </c>
      <c r="H46" t="s">
        <v>957</v>
      </c>
      <c r="I46" t="s">
        <v>95</v>
      </c>
      <c r="J46" t="s">
        <v>176</v>
      </c>
      <c r="K46" s="30">
        <v>42878</v>
      </c>
      <c r="L46" s="8">
        <v>42877.955740740741</v>
      </c>
      <c r="M46" s="21">
        <f>LEN(ProjTextTable[[#This Row],[text]])</f>
        <v>4006</v>
      </c>
      <c r="N46" s="21">
        <f>LEN(TRIM(CLEAN(SUBSTITUTE(ProjTextTable[[#This Row],[text]],CHAR(10)," "))))+1 - LEN(SUBSTITUTE(CLEAN(SUBSTITUTE(ProjTextTable[[#This Row],[text]],CHAR(10)," "))," ",""))</f>
        <v>625</v>
      </c>
      <c r="O46" t="s">
        <v>199</v>
      </c>
      <c r="P46" t="s">
        <v>1034</v>
      </c>
    </row>
    <row r="47" spans="1:16">
      <c r="A47">
        <f t="shared" si="0"/>
        <v>7</v>
      </c>
      <c r="B47" t="s">
        <v>1030</v>
      </c>
      <c r="C47" t="s">
        <v>1031</v>
      </c>
      <c r="D47" t="s">
        <v>194</v>
      </c>
      <c r="E47" t="s">
        <v>543</v>
      </c>
      <c r="F47" t="s">
        <v>1035</v>
      </c>
      <c r="G47" t="s">
        <v>1036</v>
      </c>
      <c r="H47" t="s">
        <v>1037</v>
      </c>
      <c r="I47" t="s">
        <v>95</v>
      </c>
      <c r="J47" t="s">
        <v>176</v>
      </c>
      <c r="K47" s="30">
        <v>42878</v>
      </c>
      <c r="L47" s="8">
        <v>42872.397800925923</v>
      </c>
      <c r="M47" s="21">
        <f>LEN(ProjTextTable[[#This Row],[text]])</f>
        <v>1945</v>
      </c>
      <c r="N47" s="21">
        <f>LEN(TRIM(CLEAN(SUBSTITUTE(ProjTextTable[[#This Row],[text]],CHAR(10)," "))))+1 - LEN(SUBSTITUTE(CLEAN(SUBSTITUTE(ProjTextTable[[#This Row],[text]],CHAR(10)," "))," ",""))</f>
        <v>282</v>
      </c>
      <c r="O47" t="s">
        <v>203</v>
      </c>
      <c r="P47" t="s">
        <v>1038</v>
      </c>
    </row>
    <row r="48" spans="1:16">
      <c r="A48">
        <f t="shared" si="0"/>
        <v>7</v>
      </c>
      <c r="B48" t="s">
        <v>1030</v>
      </c>
      <c r="C48" t="s">
        <v>1031</v>
      </c>
      <c r="D48" t="s">
        <v>194</v>
      </c>
      <c r="E48" t="s">
        <v>543</v>
      </c>
      <c r="F48" t="s">
        <v>963</v>
      </c>
      <c r="G48" t="s">
        <v>964</v>
      </c>
      <c r="H48" t="s">
        <v>965</v>
      </c>
      <c r="I48" t="s">
        <v>95</v>
      </c>
      <c r="J48" t="s">
        <v>176</v>
      </c>
      <c r="K48" s="30">
        <v>42878</v>
      </c>
      <c r="L48" s="8">
        <v>42878.315300925926</v>
      </c>
      <c r="M48" s="21">
        <f>LEN(ProjTextTable[[#This Row],[text]])</f>
        <v>3630</v>
      </c>
      <c r="N48" s="21">
        <f>LEN(TRIM(CLEAN(SUBSTITUTE(ProjTextTable[[#This Row],[text]],CHAR(10)," "))))+1 - LEN(SUBSTITUTE(CLEAN(SUBSTITUTE(ProjTextTable[[#This Row],[text]],CHAR(10)," "))," ",""))</f>
        <v>519</v>
      </c>
      <c r="O48" t="s">
        <v>199</v>
      </c>
      <c r="P48" t="s">
        <v>1039</v>
      </c>
    </row>
    <row r="49" spans="1:16">
      <c r="A49">
        <f t="shared" si="0"/>
        <v>7</v>
      </c>
      <c r="B49" t="s">
        <v>1030</v>
      </c>
      <c r="C49" t="s">
        <v>1031</v>
      </c>
      <c r="D49" t="s">
        <v>196</v>
      </c>
      <c r="E49" t="s">
        <v>948</v>
      </c>
      <c r="F49" t="s">
        <v>13</v>
      </c>
      <c r="G49" t="s">
        <v>13</v>
      </c>
      <c r="H49" t="s">
        <v>13</v>
      </c>
      <c r="K49" s="30"/>
      <c r="L49" s="8">
        <v>42809.04383101852</v>
      </c>
      <c r="M49" s="21">
        <f>LEN(ProjTextTable[[#This Row],[text]])</f>
        <v>4492</v>
      </c>
      <c r="N49" s="21">
        <f>LEN(TRIM(CLEAN(SUBSTITUTE(ProjTextTable[[#This Row],[text]],CHAR(10)," "))))+1 - LEN(SUBSTITUTE(CLEAN(SUBSTITUTE(ProjTextTable[[#This Row],[text]],CHAR(10)," "))," ",""))</f>
        <v>619</v>
      </c>
      <c r="O49" t="s">
        <v>13</v>
      </c>
      <c r="P49" t="s">
        <v>1040</v>
      </c>
    </row>
    <row r="50" spans="1:16">
      <c r="A50">
        <f t="shared" si="0"/>
        <v>8</v>
      </c>
      <c r="B50" t="s">
        <v>1041</v>
      </c>
      <c r="C50" t="s">
        <v>1042</v>
      </c>
      <c r="D50" t="s">
        <v>205</v>
      </c>
      <c r="E50" t="s">
        <v>942</v>
      </c>
      <c r="F50" t="s">
        <v>943</v>
      </c>
      <c r="G50" t="s">
        <v>944</v>
      </c>
      <c r="H50" t="s">
        <v>921</v>
      </c>
      <c r="I50" t="s">
        <v>193</v>
      </c>
      <c r="J50" t="s">
        <v>396</v>
      </c>
      <c r="K50" s="30">
        <v>42877</v>
      </c>
      <c r="L50" s="8">
        <v>42916.815636574072</v>
      </c>
      <c r="M50" s="21">
        <f>LEN(ProjTextTable[[#This Row],[text]])</f>
        <v>2899</v>
      </c>
      <c r="N50" s="21">
        <f>LEN(TRIM(CLEAN(SUBSTITUTE(ProjTextTable[[#This Row],[text]],CHAR(10)," "))))+1 - LEN(SUBSTITUTE(CLEAN(SUBSTITUTE(ProjTextTable[[#This Row],[text]],CHAR(10)," "))," ",""))</f>
        <v>415</v>
      </c>
      <c r="O50" t="s">
        <v>923</v>
      </c>
      <c r="P50" t="s">
        <v>1043</v>
      </c>
    </row>
    <row r="51" spans="1:16">
      <c r="A51">
        <f t="shared" si="0"/>
        <v>8</v>
      </c>
      <c r="B51" t="s">
        <v>1041</v>
      </c>
      <c r="C51" t="s">
        <v>1042</v>
      </c>
      <c r="D51" t="s">
        <v>951</v>
      </c>
      <c r="E51" t="s">
        <v>948</v>
      </c>
      <c r="F51" t="s">
        <v>1041</v>
      </c>
      <c r="G51" t="s">
        <v>952</v>
      </c>
      <c r="H51" t="s">
        <v>13</v>
      </c>
      <c r="I51" t="s">
        <v>13</v>
      </c>
      <c r="J51" t="s">
        <v>396</v>
      </c>
      <c r="K51" s="30">
        <v>42957.711111111108</v>
      </c>
      <c r="L51" s="8">
        <v>44783.711111111108</v>
      </c>
      <c r="M51" s="21">
        <f>LEN(ProjTextTable[[#This Row],[text]])</f>
        <v>6440</v>
      </c>
      <c r="N51" s="21">
        <f>LEN(TRIM(CLEAN(SUBSTITUTE(ProjTextTable[[#This Row],[text]],CHAR(10)," "))))+1 - LEN(SUBSTITUTE(CLEAN(SUBSTITUTE(ProjTextTable[[#This Row],[text]],CHAR(10)," "))," ",""))</f>
        <v>934</v>
      </c>
      <c r="O51" t="s">
        <v>13</v>
      </c>
      <c r="P51" t="s">
        <v>1044</v>
      </c>
    </row>
    <row r="52" spans="1:16">
      <c r="A52">
        <f t="shared" si="0"/>
        <v>8</v>
      </c>
      <c r="B52" t="s">
        <v>1041</v>
      </c>
      <c r="C52" t="s">
        <v>1042</v>
      </c>
      <c r="D52" t="s">
        <v>194</v>
      </c>
      <c r="E52" t="s">
        <v>543</v>
      </c>
      <c r="F52" t="s">
        <v>955</v>
      </c>
      <c r="G52" t="s">
        <v>956</v>
      </c>
      <c r="H52" t="s">
        <v>957</v>
      </c>
      <c r="I52" t="s">
        <v>95</v>
      </c>
      <c r="J52" t="s">
        <v>176</v>
      </c>
      <c r="K52" s="30">
        <v>42878</v>
      </c>
      <c r="L52" s="8">
        <v>42878.488854166666</v>
      </c>
      <c r="M52" s="21">
        <f>LEN(ProjTextTable[[#This Row],[text]])</f>
        <v>3404</v>
      </c>
      <c r="N52" s="21">
        <f>LEN(TRIM(CLEAN(SUBSTITUTE(ProjTextTable[[#This Row],[text]],CHAR(10)," "))))+1 - LEN(SUBSTITUTE(CLEAN(SUBSTITUTE(ProjTextTable[[#This Row],[text]],CHAR(10)," "))," ",""))</f>
        <v>535</v>
      </c>
      <c r="O52" t="s">
        <v>203</v>
      </c>
      <c r="P52" t="s">
        <v>1045</v>
      </c>
    </row>
    <row r="53" spans="1:16">
      <c r="A53">
        <f t="shared" si="0"/>
        <v>8</v>
      </c>
      <c r="B53" t="s">
        <v>1041</v>
      </c>
      <c r="C53" t="s">
        <v>1042</v>
      </c>
      <c r="D53" t="s">
        <v>194</v>
      </c>
      <c r="E53" t="s">
        <v>543</v>
      </c>
      <c r="F53" t="s">
        <v>963</v>
      </c>
      <c r="G53" t="s">
        <v>964</v>
      </c>
      <c r="H53" t="s">
        <v>965</v>
      </c>
      <c r="I53" t="s">
        <v>95</v>
      </c>
      <c r="J53" t="s">
        <v>176</v>
      </c>
      <c r="K53" s="30">
        <v>42878</v>
      </c>
      <c r="L53" s="8">
        <v>42878.320983796293</v>
      </c>
      <c r="M53" s="21">
        <f>LEN(ProjTextTable[[#This Row],[text]])</f>
        <v>2555</v>
      </c>
      <c r="N53" s="21">
        <f>LEN(TRIM(CLEAN(SUBSTITUTE(ProjTextTable[[#This Row],[text]],CHAR(10)," "))))+1 - LEN(SUBSTITUTE(CLEAN(SUBSTITUTE(ProjTextTable[[#This Row],[text]],CHAR(10)," "))," ",""))</f>
        <v>365</v>
      </c>
      <c r="O53" t="s">
        <v>201</v>
      </c>
      <c r="P53" t="s">
        <v>1046</v>
      </c>
    </row>
    <row r="54" spans="1:16">
      <c r="A54">
        <f t="shared" si="0"/>
        <v>8</v>
      </c>
      <c r="B54" t="s">
        <v>1041</v>
      </c>
      <c r="C54" t="s">
        <v>1042</v>
      </c>
      <c r="D54" t="s">
        <v>194</v>
      </c>
      <c r="E54" t="s">
        <v>543</v>
      </c>
      <c r="F54" t="s">
        <v>1047</v>
      </c>
      <c r="G54" t="s">
        <v>1048</v>
      </c>
      <c r="H54" t="s">
        <v>1049</v>
      </c>
      <c r="I54" t="s">
        <v>95</v>
      </c>
      <c r="J54" t="s">
        <v>176</v>
      </c>
      <c r="K54" s="30">
        <v>42878</v>
      </c>
      <c r="L54" s="8">
        <v>42880.187314814815</v>
      </c>
      <c r="M54" s="21">
        <f>LEN(ProjTextTable[[#This Row],[text]])</f>
        <v>4108</v>
      </c>
      <c r="N54" s="21">
        <f>LEN(TRIM(CLEAN(SUBSTITUTE(ProjTextTable[[#This Row],[text]],CHAR(10)," "))))+1 - LEN(SUBSTITUTE(CLEAN(SUBSTITUTE(ProjTextTable[[#This Row],[text]],CHAR(10)," "))," ",""))</f>
        <v>582</v>
      </c>
      <c r="O54" t="s">
        <v>199</v>
      </c>
      <c r="P54" t="s">
        <v>1050</v>
      </c>
    </row>
    <row r="55" spans="1:16">
      <c r="A55">
        <f t="shared" si="0"/>
        <v>8</v>
      </c>
      <c r="B55" t="s">
        <v>1041</v>
      </c>
      <c r="C55" t="s">
        <v>1042</v>
      </c>
      <c r="D55" t="s">
        <v>196</v>
      </c>
      <c r="E55" t="s">
        <v>948</v>
      </c>
      <c r="F55" t="s">
        <v>13</v>
      </c>
      <c r="G55" t="s">
        <v>13</v>
      </c>
      <c r="H55" t="s">
        <v>13</v>
      </c>
      <c r="K55" s="30"/>
      <c r="L55" s="8">
        <v>42809.043900462966</v>
      </c>
      <c r="M55" s="21">
        <f>LEN(ProjTextTable[[#This Row],[text]])</f>
        <v>4361</v>
      </c>
      <c r="N55" s="21">
        <f>LEN(TRIM(CLEAN(SUBSTITUTE(ProjTextTable[[#This Row],[text]],CHAR(10)," "))))+1 - LEN(SUBSTITUTE(CLEAN(SUBSTITUTE(ProjTextTable[[#This Row],[text]],CHAR(10)," "))," ",""))</f>
        <v>595</v>
      </c>
      <c r="O55" t="s">
        <v>13</v>
      </c>
      <c r="P55" t="s">
        <v>1051</v>
      </c>
    </row>
    <row r="56" spans="1:16">
      <c r="A56">
        <f t="shared" si="0"/>
        <v>9</v>
      </c>
      <c r="B56" t="s">
        <v>1052</v>
      </c>
      <c r="C56" t="s">
        <v>1053</v>
      </c>
      <c r="D56" t="s">
        <v>205</v>
      </c>
      <c r="E56" t="s">
        <v>942</v>
      </c>
      <c r="F56" t="s">
        <v>943</v>
      </c>
      <c r="G56" t="s">
        <v>944</v>
      </c>
      <c r="H56" t="s">
        <v>945</v>
      </c>
      <c r="I56" t="s">
        <v>95</v>
      </c>
      <c r="J56" t="s">
        <v>95</v>
      </c>
      <c r="K56" s="30">
        <v>42877</v>
      </c>
      <c r="L56" s="8">
        <v>42927.530729166669</v>
      </c>
      <c r="M56" s="21">
        <f>LEN(ProjTextTable[[#This Row],[text]])</f>
        <v>2699</v>
      </c>
      <c r="N56" s="21">
        <f>LEN(TRIM(CLEAN(SUBSTITUTE(ProjTextTable[[#This Row],[text]],CHAR(10)," "))))+1 - LEN(SUBSTITUTE(CLEAN(SUBSTITUTE(ProjTextTable[[#This Row],[text]],CHAR(10)," "))," ",""))</f>
        <v>372</v>
      </c>
      <c r="O56" t="s">
        <v>946</v>
      </c>
      <c r="P56" t="s">
        <v>1054</v>
      </c>
    </row>
    <row r="57" spans="1:16">
      <c r="A57">
        <f t="shared" si="0"/>
        <v>9</v>
      </c>
      <c r="B57" t="s">
        <v>1052</v>
      </c>
      <c r="C57" t="s">
        <v>1053</v>
      </c>
      <c r="D57" t="s">
        <v>397</v>
      </c>
      <c r="E57" t="s">
        <v>942</v>
      </c>
      <c r="F57" t="s">
        <v>13</v>
      </c>
      <c r="G57" t="s">
        <v>969</v>
      </c>
      <c r="H57" t="s">
        <v>13</v>
      </c>
      <c r="I57" t="s">
        <v>13</v>
      </c>
      <c r="K57" s="30"/>
      <c r="L57" s="8">
        <v>42928.706458333334</v>
      </c>
      <c r="M57" s="21">
        <f>LEN(ProjTextTable[[#This Row],[text]])</f>
        <v>2681</v>
      </c>
      <c r="N57" s="21">
        <f>LEN(TRIM(CLEAN(SUBSTITUTE(ProjTextTable[[#This Row],[text]],CHAR(10)," "))))+1 - LEN(SUBSTITUTE(CLEAN(SUBSTITUTE(ProjTextTable[[#This Row],[text]],CHAR(10)," "))," ",""))</f>
        <v>374</v>
      </c>
      <c r="O57" t="s">
        <v>13</v>
      </c>
      <c r="P57" t="s">
        <v>1055</v>
      </c>
    </row>
    <row r="58" spans="1:16">
      <c r="A58">
        <f t="shared" si="0"/>
        <v>9</v>
      </c>
      <c r="B58" t="s">
        <v>1052</v>
      </c>
      <c r="C58" t="s">
        <v>1053</v>
      </c>
      <c r="D58" t="s">
        <v>951</v>
      </c>
      <c r="E58" t="s">
        <v>942</v>
      </c>
      <c r="F58" t="s">
        <v>1052</v>
      </c>
      <c r="G58" t="s">
        <v>969</v>
      </c>
      <c r="H58" t="s">
        <v>13</v>
      </c>
      <c r="I58" t="s">
        <v>13</v>
      </c>
      <c r="J58" t="s">
        <v>953</v>
      </c>
      <c r="K58" s="30">
        <v>42928.350694444445</v>
      </c>
      <c r="L58" s="8">
        <v>44754.350694444445</v>
      </c>
      <c r="M58" s="21">
        <f>LEN(ProjTextTable[[#This Row],[text]])</f>
        <v>7198</v>
      </c>
      <c r="N58" s="21">
        <f>LEN(TRIM(CLEAN(SUBSTITUTE(ProjTextTable[[#This Row],[text]],CHAR(10)," "))))+1 - LEN(SUBSTITUTE(CLEAN(SUBSTITUTE(ProjTextTable[[#This Row],[text]],CHAR(10)," "))," ",""))</f>
        <v>1036</v>
      </c>
      <c r="O58" t="s">
        <v>13</v>
      </c>
      <c r="P58" t="s">
        <v>1056</v>
      </c>
    </row>
    <row r="59" spans="1:16">
      <c r="A59">
        <f t="shared" si="0"/>
        <v>9</v>
      </c>
      <c r="B59" t="s">
        <v>1052</v>
      </c>
      <c r="C59" t="s">
        <v>1053</v>
      </c>
      <c r="D59" t="s">
        <v>194</v>
      </c>
      <c r="E59" t="s">
        <v>543</v>
      </c>
      <c r="F59" t="s">
        <v>955</v>
      </c>
      <c r="G59" t="s">
        <v>956</v>
      </c>
      <c r="H59" t="s">
        <v>957</v>
      </c>
      <c r="I59" t="s">
        <v>95</v>
      </c>
      <c r="J59" t="s">
        <v>176</v>
      </c>
      <c r="K59" s="30">
        <v>42878</v>
      </c>
      <c r="L59" s="8">
        <v>42877.023020833331</v>
      </c>
      <c r="M59" s="21">
        <f>LEN(ProjTextTable[[#This Row],[text]])</f>
        <v>2619</v>
      </c>
      <c r="N59" s="21">
        <f>LEN(TRIM(CLEAN(SUBSTITUTE(ProjTextTable[[#This Row],[text]],CHAR(10)," "))))+1 - LEN(SUBSTITUTE(CLEAN(SUBSTITUTE(ProjTextTable[[#This Row],[text]],CHAR(10)," "))," ",""))</f>
        <v>388</v>
      </c>
      <c r="O59" t="s">
        <v>251</v>
      </c>
      <c r="P59" t="s">
        <v>1057</v>
      </c>
    </row>
    <row r="60" spans="1:16">
      <c r="A60">
        <f t="shared" si="0"/>
        <v>9</v>
      </c>
      <c r="B60" t="s">
        <v>1052</v>
      </c>
      <c r="C60" t="s">
        <v>1053</v>
      </c>
      <c r="D60" t="s">
        <v>194</v>
      </c>
      <c r="E60" t="s">
        <v>543</v>
      </c>
      <c r="F60" t="s">
        <v>959</v>
      </c>
      <c r="G60" t="s">
        <v>960</v>
      </c>
      <c r="H60" t="s">
        <v>961</v>
      </c>
      <c r="I60" t="s">
        <v>95</v>
      </c>
      <c r="J60" t="s">
        <v>176</v>
      </c>
      <c r="K60" s="30">
        <v>42878</v>
      </c>
      <c r="L60" s="8">
        <v>42874.7890625</v>
      </c>
      <c r="M60" s="21">
        <f>LEN(ProjTextTable[[#This Row],[text]])</f>
        <v>1909</v>
      </c>
      <c r="N60" s="21">
        <f>LEN(TRIM(CLEAN(SUBSTITUTE(ProjTextTable[[#This Row],[text]],CHAR(10)," "))))+1 - LEN(SUBSTITUTE(CLEAN(SUBSTITUTE(ProjTextTable[[#This Row],[text]],CHAR(10)," "))," ",""))</f>
        <v>302</v>
      </c>
      <c r="O60" t="s">
        <v>251</v>
      </c>
      <c r="P60" t="s">
        <v>1058</v>
      </c>
    </row>
    <row r="61" spans="1:16">
      <c r="A61">
        <f t="shared" si="0"/>
        <v>9</v>
      </c>
      <c r="B61" t="s">
        <v>1052</v>
      </c>
      <c r="C61" t="s">
        <v>1053</v>
      </c>
      <c r="D61" t="s">
        <v>194</v>
      </c>
      <c r="E61" t="s">
        <v>543</v>
      </c>
      <c r="F61" t="s">
        <v>1059</v>
      </c>
      <c r="G61" t="s">
        <v>1060</v>
      </c>
      <c r="H61" t="s">
        <v>1061</v>
      </c>
      <c r="I61" t="s">
        <v>95</v>
      </c>
      <c r="J61" t="s">
        <v>176</v>
      </c>
      <c r="K61" s="30">
        <v>42878</v>
      </c>
      <c r="L61" s="8">
        <v>42877.647002314814</v>
      </c>
      <c r="M61" s="21">
        <f>LEN(ProjTextTable[[#This Row],[text]])</f>
        <v>1402</v>
      </c>
      <c r="N61" s="21">
        <f>LEN(TRIM(CLEAN(SUBSTITUTE(ProjTextTable[[#This Row],[text]],CHAR(10)," "))))+1 - LEN(SUBSTITUTE(CLEAN(SUBSTITUTE(ProjTextTable[[#This Row],[text]],CHAR(10)," "))," ",""))</f>
        <v>208</v>
      </c>
      <c r="O61" t="s">
        <v>251</v>
      </c>
      <c r="P61" t="s">
        <v>1062</v>
      </c>
    </row>
    <row r="62" spans="1:16">
      <c r="A62">
        <f t="shared" si="0"/>
        <v>9</v>
      </c>
      <c r="B62" t="s">
        <v>1052</v>
      </c>
      <c r="C62" t="s">
        <v>1053</v>
      </c>
      <c r="D62" t="s">
        <v>968</v>
      </c>
      <c r="E62" t="s">
        <v>942</v>
      </c>
      <c r="F62" t="s">
        <v>1052</v>
      </c>
      <c r="G62" t="s">
        <v>969</v>
      </c>
      <c r="H62" t="s">
        <v>970</v>
      </c>
      <c r="K62" s="30"/>
      <c r="L62" s="8">
        <v>42927.6878125</v>
      </c>
      <c r="M62" s="21">
        <f>LEN(ProjTextTable[[#This Row],[text]])</f>
        <v>2430</v>
      </c>
      <c r="N62" s="21">
        <f>LEN(TRIM(CLEAN(SUBSTITUTE(ProjTextTable[[#This Row],[text]],CHAR(10)," "))))+1 - LEN(SUBSTITUTE(CLEAN(SUBSTITUTE(ProjTextTable[[#This Row],[text]],CHAR(10)," "))," ",""))</f>
        <v>354</v>
      </c>
      <c r="O62" t="s">
        <v>13</v>
      </c>
      <c r="P62" t="s">
        <v>1063</v>
      </c>
    </row>
    <row r="63" spans="1:16">
      <c r="A63">
        <f t="shared" si="0"/>
        <v>10</v>
      </c>
      <c r="B63" t="s">
        <v>1064</v>
      </c>
      <c r="C63" t="s">
        <v>1065</v>
      </c>
      <c r="D63" t="s">
        <v>205</v>
      </c>
      <c r="E63" t="s">
        <v>942</v>
      </c>
      <c r="F63" t="s">
        <v>943</v>
      </c>
      <c r="G63" t="s">
        <v>944</v>
      </c>
      <c r="H63" t="s">
        <v>974</v>
      </c>
      <c r="I63" t="s">
        <v>200</v>
      </c>
      <c r="K63" s="30">
        <v>42877</v>
      </c>
      <c r="L63" s="8"/>
      <c r="M63" s="21">
        <f>LEN(ProjTextTable[[#This Row],[text]])</f>
        <v>1</v>
      </c>
      <c r="N63" s="21">
        <f>LEN(TRIM(CLEAN(SUBSTITUTE(ProjTextTable[[#This Row],[text]],CHAR(10)," "))))+1 - LEN(SUBSTITUTE(CLEAN(SUBSTITUTE(ProjTextTable[[#This Row],[text]],CHAR(10)," "))," ",""))</f>
        <v>1</v>
      </c>
      <c r="O63" t="s">
        <v>975</v>
      </c>
      <c r="P63" t="s">
        <v>13</v>
      </c>
    </row>
    <row r="64" spans="1:16">
      <c r="A64">
        <f t="shared" si="0"/>
        <v>10</v>
      </c>
      <c r="B64" t="s">
        <v>1064</v>
      </c>
      <c r="C64" t="s">
        <v>1065</v>
      </c>
      <c r="D64" t="s">
        <v>951</v>
      </c>
      <c r="E64" t="s">
        <v>942</v>
      </c>
      <c r="F64" t="s">
        <v>1064</v>
      </c>
      <c r="G64" t="s">
        <v>969</v>
      </c>
      <c r="H64" t="s">
        <v>13</v>
      </c>
      <c r="I64" t="s">
        <v>13</v>
      </c>
      <c r="J64" t="s">
        <v>396</v>
      </c>
      <c r="K64" s="30">
        <v>42955.68472222222</v>
      </c>
      <c r="L64" s="8">
        <v>44781.68472222222</v>
      </c>
      <c r="M64" s="21">
        <f>LEN(ProjTextTable[[#This Row],[text]])</f>
        <v>2132</v>
      </c>
      <c r="N64" s="21">
        <f>LEN(TRIM(CLEAN(SUBSTITUTE(ProjTextTable[[#This Row],[text]],CHAR(10)," "))))+1 - LEN(SUBSTITUTE(CLEAN(SUBSTITUTE(ProjTextTable[[#This Row],[text]],CHAR(10)," "))," ",""))</f>
        <v>307</v>
      </c>
      <c r="O64" t="s">
        <v>13</v>
      </c>
      <c r="P64" t="s">
        <v>1066</v>
      </c>
    </row>
    <row r="65" spans="1:16">
      <c r="A65">
        <f t="shared" si="0"/>
        <v>10</v>
      </c>
      <c r="B65" t="s">
        <v>1064</v>
      </c>
      <c r="C65" t="s">
        <v>1065</v>
      </c>
      <c r="D65" t="s">
        <v>194</v>
      </c>
      <c r="E65" t="s">
        <v>543</v>
      </c>
      <c r="F65" t="s">
        <v>1067</v>
      </c>
      <c r="G65" t="s">
        <v>1068</v>
      </c>
      <c r="H65" t="s">
        <v>1069</v>
      </c>
      <c r="I65" t="s">
        <v>95</v>
      </c>
      <c r="J65" t="s">
        <v>176</v>
      </c>
      <c r="K65" s="30">
        <v>42878</v>
      </c>
      <c r="L65" s="8">
        <v>42876.052858796298</v>
      </c>
      <c r="M65" s="21">
        <f>LEN(ProjTextTable[[#This Row],[text]])</f>
        <v>2654</v>
      </c>
      <c r="N65" s="21">
        <f>LEN(TRIM(CLEAN(SUBSTITUTE(ProjTextTable[[#This Row],[text]],CHAR(10)," "))))+1 - LEN(SUBSTITUTE(CLEAN(SUBSTITUTE(ProjTextTable[[#This Row],[text]],CHAR(10)," "))," ",""))</f>
        <v>409</v>
      </c>
      <c r="O65" t="s">
        <v>201</v>
      </c>
      <c r="P65" t="s">
        <v>1070</v>
      </c>
    </row>
    <row r="66" spans="1:16">
      <c r="A66">
        <f t="shared" ref="A66:A129" si="1">A65+(B66&lt;&gt;B65)</f>
        <v>10</v>
      </c>
      <c r="B66" t="s">
        <v>1064</v>
      </c>
      <c r="C66" t="s">
        <v>1065</v>
      </c>
      <c r="D66" t="s">
        <v>194</v>
      </c>
      <c r="E66" t="s">
        <v>543</v>
      </c>
      <c r="F66" t="s">
        <v>963</v>
      </c>
      <c r="G66" t="s">
        <v>964</v>
      </c>
      <c r="H66" t="s">
        <v>965</v>
      </c>
      <c r="I66" t="s">
        <v>95</v>
      </c>
      <c r="J66" t="s">
        <v>176</v>
      </c>
      <c r="K66" s="30">
        <v>42878</v>
      </c>
      <c r="L66" s="8">
        <v>42878.600578703707</v>
      </c>
      <c r="M66" s="21">
        <f>LEN(ProjTextTable[[#This Row],[text]])</f>
        <v>2277</v>
      </c>
      <c r="N66" s="21">
        <f>LEN(TRIM(CLEAN(SUBSTITUTE(ProjTextTable[[#This Row],[text]],CHAR(10)," "))))+1 - LEN(SUBSTITUTE(CLEAN(SUBSTITUTE(ProjTextTable[[#This Row],[text]],CHAR(10)," "))," ",""))</f>
        <v>336</v>
      </c>
      <c r="O66" t="s">
        <v>201</v>
      </c>
      <c r="P66" t="s">
        <v>1071</v>
      </c>
    </row>
    <row r="67" spans="1:16">
      <c r="A67">
        <f t="shared" si="1"/>
        <v>10</v>
      </c>
      <c r="B67" t="s">
        <v>1064</v>
      </c>
      <c r="C67" t="s">
        <v>1065</v>
      </c>
      <c r="D67" t="s">
        <v>194</v>
      </c>
      <c r="E67" t="s">
        <v>543</v>
      </c>
      <c r="F67" t="s">
        <v>1047</v>
      </c>
      <c r="G67" t="s">
        <v>1048</v>
      </c>
      <c r="H67" t="s">
        <v>1049</v>
      </c>
      <c r="I67" t="s">
        <v>95</v>
      </c>
      <c r="J67" t="s">
        <v>176</v>
      </c>
      <c r="K67" s="30">
        <v>42878</v>
      </c>
      <c r="L67" s="8">
        <v>42884.193958333337</v>
      </c>
      <c r="M67" s="21">
        <f>LEN(ProjTextTable[[#This Row],[text]])</f>
        <v>2324</v>
      </c>
      <c r="N67" s="21">
        <f>LEN(TRIM(CLEAN(SUBSTITUTE(ProjTextTable[[#This Row],[text]],CHAR(10)," "))))+1 - LEN(SUBSTITUTE(CLEAN(SUBSTITUTE(ProjTextTable[[#This Row],[text]],CHAR(10)," "))," ",""))</f>
        <v>338</v>
      </c>
      <c r="O67" t="s">
        <v>195</v>
      </c>
      <c r="P67" t="s">
        <v>1072</v>
      </c>
    </row>
    <row r="68" spans="1:16">
      <c r="A68">
        <f t="shared" si="1"/>
        <v>11</v>
      </c>
      <c r="B68" t="s">
        <v>1073</v>
      </c>
      <c r="C68" t="s">
        <v>1074</v>
      </c>
      <c r="D68" t="s">
        <v>205</v>
      </c>
      <c r="E68" t="s">
        <v>942</v>
      </c>
      <c r="F68" t="s">
        <v>943</v>
      </c>
      <c r="G68" t="s">
        <v>944</v>
      </c>
      <c r="H68" t="s">
        <v>921</v>
      </c>
      <c r="I68" t="s">
        <v>193</v>
      </c>
      <c r="J68" t="s">
        <v>396</v>
      </c>
      <c r="K68" s="30">
        <v>42877</v>
      </c>
      <c r="L68" s="8">
        <v>42916.815636574072</v>
      </c>
      <c r="M68" s="21">
        <f>LEN(ProjTextTable[[#This Row],[text]])</f>
        <v>1777</v>
      </c>
      <c r="N68" s="21">
        <f>LEN(TRIM(CLEAN(SUBSTITUTE(ProjTextTable[[#This Row],[text]],CHAR(10)," "))))+1 - LEN(SUBSTITUTE(CLEAN(SUBSTITUTE(ProjTextTable[[#This Row],[text]],CHAR(10)," "))," ",""))</f>
        <v>237</v>
      </c>
      <c r="O68" t="s">
        <v>923</v>
      </c>
      <c r="P68" t="s">
        <v>1075</v>
      </c>
    </row>
    <row r="69" spans="1:16">
      <c r="A69">
        <f t="shared" si="1"/>
        <v>11</v>
      </c>
      <c r="B69" t="s">
        <v>1073</v>
      </c>
      <c r="C69" t="s">
        <v>1074</v>
      </c>
      <c r="D69" t="s">
        <v>951</v>
      </c>
      <c r="E69" t="s">
        <v>948</v>
      </c>
      <c r="F69" t="s">
        <v>1073</v>
      </c>
      <c r="G69" t="s">
        <v>952</v>
      </c>
      <c r="H69" t="s">
        <v>13</v>
      </c>
      <c r="I69" t="s">
        <v>13</v>
      </c>
      <c r="J69" t="s">
        <v>396</v>
      </c>
      <c r="K69" s="30">
        <v>42964.708333333336</v>
      </c>
      <c r="L69" s="8">
        <v>44790.708333333336</v>
      </c>
      <c r="M69" s="21">
        <f>LEN(ProjTextTable[[#This Row],[text]])</f>
        <v>6553</v>
      </c>
      <c r="N69" s="21">
        <f>LEN(TRIM(CLEAN(SUBSTITUTE(ProjTextTable[[#This Row],[text]],CHAR(10)," "))))+1 - LEN(SUBSTITUTE(CLEAN(SUBSTITUTE(ProjTextTable[[#This Row],[text]],CHAR(10)," "))," ",""))</f>
        <v>966</v>
      </c>
      <c r="O69" t="s">
        <v>13</v>
      </c>
      <c r="P69" t="s">
        <v>1076</v>
      </c>
    </row>
    <row r="70" spans="1:16">
      <c r="A70">
        <f t="shared" si="1"/>
        <v>11</v>
      </c>
      <c r="B70" t="s">
        <v>1073</v>
      </c>
      <c r="C70" t="s">
        <v>1074</v>
      </c>
      <c r="D70" t="s">
        <v>194</v>
      </c>
      <c r="E70" t="s">
        <v>543</v>
      </c>
      <c r="F70" t="s">
        <v>1067</v>
      </c>
      <c r="G70" t="s">
        <v>1068</v>
      </c>
      <c r="H70" t="s">
        <v>1069</v>
      </c>
      <c r="I70" t="s">
        <v>95</v>
      </c>
      <c r="J70" t="s">
        <v>176</v>
      </c>
      <c r="K70" s="30">
        <v>42878</v>
      </c>
      <c r="L70" s="8">
        <v>42876.05127314815</v>
      </c>
      <c r="M70" s="21">
        <f>LEN(ProjTextTable[[#This Row],[text]])</f>
        <v>3516</v>
      </c>
      <c r="N70" s="21">
        <f>LEN(TRIM(CLEAN(SUBSTITUTE(ProjTextTable[[#This Row],[text]],CHAR(10)," "))))+1 - LEN(SUBSTITUTE(CLEAN(SUBSTITUTE(ProjTextTable[[#This Row],[text]],CHAR(10)," "))," ",""))</f>
        <v>544</v>
      </c>
      <c r="O70" t="s">
        <v>202</v>
      </c>
      <c r="P70" t="s">
        <v>1077</v>
      </c>
    </row>
    <row r="71" spans="1:16">
      <c r="A71">
        <f t="shared" si="1"/>
        <v>11</v>
      </c>
      <c r="B71" t="s">
        <v>1073</v>
      </c>
      <c r="C71" t="s">
        <v>1074</v>
      </c>
      <c r="D71" t="s">
        <v>194</v>
      </c>
      <c r="E71" t="s">
        <v>543</v>
      </c>
      <c r="F71" t="s">
        <v>1035</v>
      </c>
      <c r="G71" t="s">
        <v>1036</v>
      </c>
      <c r="H71" t="s">
        <v>1037</v>
      </c>
      <c r="I71" t="s">
        <v>95</v>
      </c>
      <c r="J71" t="s">
        <v>176</v>
      </c>
      <c r="K71" s="30">
        <v>42878</v>
      </c>
      <c r="L71" s="8">
        <v>42872.388784722221</v>
      </c>
      <c r="M71" s="21">
        <f>LEN(ProjTextTable[[#This Row],[text]])</f>
        <v>3230</v>
      </c>
      <c r="N71" s="21">
        <f>LEN(TRIM(CLEAN(SUBSTITUTE(ProjTextTable[[#This Row],[text]],CHAR(10)," "))))+1 - LEN(SUBSTITUTE(CLEAN(SUBSTITUTE(ProjTextTable[[#This Row],[text]],CHAR(10)," "))," ",""))</f>
        <v>490</v>
      </c>
      <c r="O71" t="s">
        <v>198</v>
      </c>
      <c r="P71" t="s">
        <v>1078</v>
      </c>
    </row>
    <row r="72" spans="1:16">
      <c r="A72">
        <f t="shared" si="1"/>
        <v>11</v>
      </c>
      <c r="B72" t="s">
        <v>1073</v>
      </c>
      <c r="C72" t="s">
        <v>1074</v>
      </c>
      <c r="D72" t="s">
        <v>194</v>
      </c>
      <c r="E72" t="s">
        <v>543</v>
      </c>
      <c r="F72" t="s">
        <v>1014</v>
      </c>
      <c r="G72" t="s">
        <v>1015</v>
      </c>
      <c r="H72" t="s">
        <v>1016</v>
      </c>
      <c r="I72" t="s">
        <v>95</v>
      </c>
      <c r="J72" t="s">
        <v>176</v>
      </c>
      <c r="K72" s="30">
        <v>42878</v>
      </c>
      <c r="L72" s="8">
        <v>42877.395115740743</v>
      </c>
      <c r="M72" s="21">
        <f>LEN(ProjTextTable[[#This Row],[text]])</f>
        <v>4134</v>
      </c>
      <c r="N72" s="21">
        <f>LEN(TRIM(CLEAN(SUBSTITUTE(ProjTextTable[[#This Row],[text]],CHAR(10)," "))))+1 - LEN(SUBSTITUTE(CLEAN(SUBSTITUTE(ProjTextTable[[#This Row],[text]],CHAR(10)," "))," ",""))</f>
        <v>638</v>
      </c>
      <c r="O72" t="s">
        <v>195</v>
      </c>
      <c r="P72" t="s">
        <v>1079</v>
      </c>
    </row>
    <row r="73" spans="1:16">
      <c r="A73">
        <f t="shared" si="1"/>
        <v>11</v>
      </c>
      <c r="B73" t="s">
        <v>1073</v>
      </c>
      <c r="C73" t="s">
        <v>1074</v>
      </c>
      <c r="D73" t="s">
        <v>196</v>
      </c>
      <c r="E73" t="s">
        <v>948</v>
      </c>
      <c r="F73" t="s">
        <v>13</v>
      </c>
      <c r="G73" t="s">
        <v>13</v>
      </c>
      <c r="H73" t="s">
        <v>13</v>
      </c>
      <c r="K73" s="30"/>
      <c r="L73" s="8">
        <v>42810.042256944442</v>
      </c>
      <c r="M73" s="21">
        <f>LEN(ProjTextTable[[#This Row],[text]])</f>
        <v>3569</v>
      </c>
      <c r="N73" s="21">
        <f>LEN(TRIM(CLEAN(SUBSTITUTE(ProjTextTable[[#This Row],[text]],CHAR(10)," "))))+1 - LEN(SUBSTITUTE(CLEAN(SUBSTITUTE(ProjTextTable[[#This Row],[text]],CHAR(10)," "))," ",""))</f>
        <v>507</v>
      </c>
      <c r="O73" t="s">
        <v>13</v>
      </c>
      <c r="P73" t="s">
        <v>1080</v>
      </c>
    </row>
    <row r="74" spans="1:16">
      <c r="A74">
        <f t="shared" si="1"/>
        <v>12</v>
      </c>
      <c r="B74" t="s">
        <v>1081</v>
      </c>
      <c r="C74" t="s">
        <v>1082</v>
      </c>
      <c r="D74" t="s">
        <v>205</v>
      </c>
      <c r="E74" t="s">
        <v>543</v>
      </c>
      <c r="F74" t="s">
        <v>919</v>
      </c>
      <c r="G74" t="s">
        <v>920</v>
      </c>
      <c r="H74" t="s">
        <v>974</v>
      </c>
      <c r="I74" t="s">
        <v>200</v>
      </c>
      <c r="J74" t="s">
        <v>546</v>
      </c>
      <c r="K74" s="30">
        <v>42871</v>
      </c>
      <c r="L74" s="8"/>
      <c r="M74" s="21">
        <f>LEN(ProjTextTable[[#This Row],[text]])</f>
        <v>1</v>
      </c>
      <c r="N74" s="21">
        <f>LEN(TRIM(CLEAN(SUBSTITUTE(ProjTextTable[[#This Row],[text]],CHAR(10)," "))))+1 - LEN(SUBSTITUTE(CLEAN(SUBSTITUTE(ProjTextTable[[#This Row],[text]],CHAR(10)," "))," ",""))</f>
        <v>1</v>
      </c>
      <c r="O74" t="s">
        <v>975</v>
      </c>
      <c r="P74" t="s">
        <v>13</v>
      </c>
    </row>
    <row r="75" spans="1:16">
      <c r="A75">
        <f t="shared" si="1"/>
        <v>12</v>
      </c>
      <c r="B75" t="s">
        <v>1081</v>
      </c>
      <c r="C75" t="s">
        <v>1082</v>
      </c>
      <c r="D75" t="s">
        <v>951</v>
      </c>
      <c r="E75" t="s">
        <v>540</v>
      </c>
      <c r="F75" t="s">
        <v>1081</v>
      </c>
      <c r="G75" t="s">
        <v>976</v>
      </c>
      <c r="H75" t="s">
        <v>13</v>
      </c>
      <c r="I75" t="s">
        <v>13</v>
      </c>
      <c r="J75" t="s">
        <v>396</v>
      </c>
      <c r="K75" s="30">
        <v>42955.686111111114</v>
      </c>
      <c r="L75" s="8">
        <v>44781.686111111114</v>
      </c>
      <c r="M75" s="21">
        <f>LEN(ProjTextTable[[#This Row],[text]])</f>
        <v>2107</v>
      </c>
      <c r="N75" s="21">
        <f>LEN(TRIM(CLEAN(SUBSTITUTE(ProjTextTable[[#This Row],[text]],CHAR(10)," "))))+1 - LEN(SUBSTITUTE(CLEAN(SUBSTITUTE(ProjTextTable[[#This Row],[text]],CHAR(10)," "))," ",""))</f>
        <v>332</v>
      </c>
      <c r="O75" t="s">
        <v>13</v>
      </c>
      <c r="P75" t="s">
        <v>977</v>
      </c>
    </row>
    <row r="76" spans="1:16">
      <c r="A76">
        <f t="shared" si="1"/>
        <v>12</v>
      </c>
      <c r="B76" t="s">
        <v>1081</v>
      </c>
      <c r="C76" t="s">
        <v>1082</v>
      </c>
      <c r="D76" t="s">
        <v>2</v>
      </c>
      <c r="E76" t="s">
        <v>540</v>
      </c>
      <c r="F76" t="s">
        <v>13</v>
      </c>
      <c r="G76" t="s">
        <v>925</v>
      </c>
      <c r="H76" t="s">
        <v>13</v>
      </c>
      <c r="I76" t="s">
        <v>13</v>
      </c>
      <c r="K76" s="30"/>
      <c r="L76" s="8">
        <v>42914.640416666669</v>
      </c>
      <c r="M76" s="21">
        <f>LEN(ProjTextTable[[#This Row],[text]])</f>
        <v>1963</v>
      </c>
      <c r="N76" s="21">
        <f>LEN(TRIM(CLEAN(SUBSTITUTE(ProjTextTable[[#This Row],[text]],CHAR(10)," "))))+1 - LEN(SUBSTITUTE(CLEAN(SUBSTITUTE(ProjTextTable[[#This Row],[text]],CHAR(10)," "))," ",""))</f>
        <v>292</v>
      </c>
      <c r="O76" t="s">
        <v>13</v>
      </c>
      <c r="P76" t="s">
        <v>1083</v>
      </c>
    </row>
    <row r="77" spans="1:16">
      <c r="A77">
        <f t="shared" si="1"/>
        <v>12</v>
      </c>
      <c r="B77" t="s">
        <v>1081</v>
      </c>
      <c r="C77" t="s">
        <v>1082</v>
      </c>
      <c r="D77" t="s">
        <v>194</v>
      </c>
      <c r="E77" t="s">
        <v>543</v>
      </c>
      <c r="F77" t="s">
        <v>1084</v>
      </c>
      <c r="G77" t="s">
        <v>1085</v>
      </c>
      <c r="H77" t="s">
        <v>1086</v>
      </c>
      <c r="I77" t="s">
        <v>95</v>
      </c>
      <c r="J77" t="s">
        <v>176</v>
      </c>
      <c r="K77" s="30">
        <v>42872</v>
      </c>
      <c r="L77" s="8">
        <v>42867.534050925926</v>
      </c>
      <c r="M77" s="21">
        <f>LEN(ProjTextTable[[#This Row],[text]])</f>
        <v>2279</v>
      </c>
      <c r="N77" s="21">
        <f>LEN(TRIM(CLEAN(SUBSTITUTE(ProjTextTable[[#This Row],[text]],CHAR(10)," "))))+1 - LEN(SUBSTITUTE(CLEAN(SUBSTITUTE(ProjTextTable[[#This Row],[text]],CHAR(10)," "))," ",""))</f>
        <v>330</v>
      </c>
      <c r="O77" t="s">
        <v>209</v>
      </c>
      <c r="P77" t="s">
        <v>1087</v>
      </c>
    </row>
    <row r="78" spans="1:16">
      <c r="A78">
        <f t="shared" si="1"/>
        <v>12</v>
      </c>
      <c r="B78" t="s">
        <v>1081</v>
      </c>
      <c r="C78" t="s">
        <v>1082</v>
      </c>
      <c r="D78" t="s">
        <v>194</v>
      </c>
      <c r="E78" t="s">
        <v>543</v>
      </c>
      <c r="F78" t="s">
        <v>989</v>
      </c>
      <c r="G78" t="s">
        <v>990</v>
      </c>
      <c r="H78" t="s">
        <v>991</v>
      </c>
      <c r="I78" t="s">
        <v>95</v>
      </c>
      <c r="J78" t="s">
        <v>176</v>
      </c>
      <c r="K78" s="30">
        <v>42872</v>
      </c>
      <c r="L78" s="8">
        <v>42872.46125</v>
      </c>
      <c r="M78" s="21">
        <f>LEN(ProjTextTable[[#This Row],[text]])</f>
        <v>6491</v>
      </c>
      <c r="N78" s="21">
        <f>LEN(TRIM(CLEAN(SUBSTITUTE(ProjTextTable[[#This Row],[text]],CHAR(10)," "))))+1 - LEN(SUBSTITUTE(CLEAN(SUBSTITUTE(ProjTextTable[[#This Row],[text]],CHAR(10)," "))," ",""))</f>
        <v>1075</v>
      </c>
      <c r="O78" t="s">
        <v>201</v>
      </c>
      <c r="P78" t="s">
        <v>1088</v>
      </c>
    </row>
    <row r="79" spans="1:16">
      <c r="A79">
        <f t="shared" si="1"/>
        <v>12</v>
      </c>
      <c r="B79" t="s">
        <v>1081</v>
      </c>
      <c r="C79" t="s">
        <v>1082</v>
      </c>
      <c r="D79" t="s">
        <v>194</v>
      </c>
      <c r="E79" t="s">
        <v>543</v>
      </c>
      <c r="F79" t="s">
        <v>1089</v>
      </c>
      <c r="G79" t="s">
        <v>1090</v>
      </c>
      <c r="H79" t="s">
        <v>1091</v>
      </c>
      <c r="I79" t="s">
        <v>95</v>
      </c>
      <c r="J79" t="s">
        <v>176</v>
      </c>
      <c r="K79" s="30">
        <v>42872</v>
      </c>
      <c r="L79" s="8">
        <v>42867.884722222225</v>
      </c>
      <c r="M79" s="21">
        <f>LEN(ProjTextTable[[#This Row],[text]])</f>
        <v>2518</v>
      </c>
      <c r="N79" s="21">
        <f>LEN(TRIM(CLEAN(SUBSTITUTE(ProjTextTable[[#This Row],[text]],CHAR(10)," "))))+1 - LEN(SUBSTITUTE(CLEAN(SUBSTITUTE(ProjTextTable[[#This Row],[text]],CHAR(10)," "))," ",""))</f>
        <v>390</v>
      </c>
      <c r="O79" t="s">
        <v>209</v>
      </c>
      <c r="P79" t="s">
        <v>1092</v>
      </c>
    </row>
    <row r="80" spans="1:16">
      <c r="A80">
        <f t="shared" si="1"/>
        <v>12</v>
      </c>
      <c r="B80" t="s">
        <v>1081</v>
      </c>
      <c r="C80" t="s">
        <v>1082</v>
      </c>
      <c r="D80" t="s">
        <v>196</v>
      </c>
      <c r="E80" t="s">
        <v>540</v>
      </c>
      <c r="F80" t="s">
        <v>13</v>
      </c>
      <c r="G80" t="s">
        <v>13</v>
      </c>
      <c r="H80" t="s">
        <v>13</v>
      </c>
      <c r="K80" s="30"/>
      <c r="L80" s="8">
        <v>42810.042268518519</v>
      </c>
      <c r="M80" s="21">
        <f>LEN(ProjTextTable[[#This Row],[text]])</f>
        <v>3386</v>
      </c>
      <c r="N80" s="21">
        <f>LEN(TRIM(CLEAN(SUBSTITUTE(ProjTextTable[[#This Row],[text]],CHAR(10)," "))))+1 - LEN(SUBSTITUTE(CLEAN(SUBSTITUTE(ProjTextTable[[#This Row],[text]],CHAR(10)," "))," ",""))</f>
        <v>512</v>
      </c>
      <c r="O80" t="s">
        <v>13</v>
      </c>
      <c r="P80" t="s">
        <v>1093</v>
      </c>
    </row>
    <row r="81" spans="1:16">
      <c r="A81">
        <f t="shared" si="1"/>
        <v>13</v>
      </c>
      <c r="B81" t="s">
        <v>1094</v>
      </c>
      <c r="C81" t="s">
        <v>1095</v>
      </c>
      <c r="D81" t="s">
        <v>205</v>
      </c>
      <c r="E81" t="s">
        <v>543</v>
      </c>
      <c r="F81" t="s">
        <v>919</v>
      </c>
      <c r="G81" t="s">
        <v>920</v>
      </c>
      <c r="H81" t="s">
        <v>1004</v>
      </c>
      <c r="I81" t="s">
        <v>197</v>
      </c>
      <c r="J81" t="s">
        <v>193</v>
      </c>
      <c r="K81" s="30">
        <v>42871</v>
      </c>
      <c r="L81" s="8">
        <v>42922.825601851851</v>
      </c>
      <c r="M81" s="21">
        <f>LEN(ProjTextTable[[#This Row],[text]])</f>
        <v>3905</v>
      </c>
      <c r="N81" s="21">
        <f>LEN(TRIM(CLEAN(SUBSTITUTE(ProjTextTable[[#This Row],[text]],CHAR(10)," "))))+1 - LEN(SUBSTITUTE(CLEAN(SUBSTITUTE(ProjTextTable[[#This Row],[text]],CHAR(10)," "))," ",""))</f>
        <v>571</v>
      </c>
      <c r="O81" t="s">
        <v>176</v>
      </c>
      <c r="P81" t="s">
        <v>1096</v>
      </c>
    </row>
    <row r="82" spans="1:16">
      <c r="A82">
        <f t="shared" si="1"/>
        <v>13</v>
      </c>
      <c r="B82" t="s">
        <v>1094</v>
      </c>
      <c r="C82" t="s">
        <v>1095</v>
      </c>
      <c r="D82" t="s">
        <v>397</v>
      </c>
      <c r="E82" t="s">
        <v>540</v>
      </c>
      <c r="F82" t="s">
        <v>13</v>
      </c>
      <c r="G82" t="s">
        <v>976</v>
      </c>
      <c r="H82" t="s">
        <v>13</v>
      </c>
      <c r="I82" t="s">
        <v>13</v>
      </c>
      <c r="K82" s="30"/>
      <c r="L82" s="8">
        <v>42928.711365740739</v>
      </c>
      <c r="M82" s="21">
        <f>LEN(ProjTextTable[[#This Row],[text]])</f>
        <v>2329</v>
      </c>
      <c r="N82" s="21">
        <f>LEN(TRIM(CLEAN(SUBSTITUTE(ProjTextTable[[#This Row],[text]],CHAR(10)," "))))+1 - LEN(SUBSTITUTE(CLEAN(SUBSTITUTE(ProjTextTable[[#This Row],[text]],CHAR(10)," "))," ",""))</f>
        <v>321</v>
      </c>
      <c r="O82" t="s">
        <v>13</v>
      </c>
      <c r="P82" t="s">
        <v>1097</v>
      </c>
    </row>
    <row r="83" spans="1:16">
      <c r="A83">
        <f t="shared" si="1"/>
        <v>13</v>
      </c>
      <c r="B83" t="s">
        <v>1094</v>
      </c>
      <c r="C83" t="s">
        <v>1095</v>
      </c>
      <c r="D83" t="s">
        <v>951</v>
      </c>
      <c r="E83" t="s">
        <v>540</v>
      </c>
      <c r="F83" t="s">
        <v>1094</v>
      </c>
      <c r="G83" t="s">
        <v>976</v>
      </c>
      <c r="H83" t="s">
        <v>13</v>
      </c>
      <c r="I83" t="s">
        <v>13</v>
      </c>
      <c r="J83" t="s">
        <v>953</v>
      </c>
      <c r="K83" s="30">
        <v>42928.722916666666</v>
      </c>
      <c r="L83" s="8">
        <v>44754.722916666666</v>
      </c>
      <c r="M83" s="21">
        <f>LEN(ProjTextTable[[#This Row],[text]])</f>
        <v>6819</v>
      </c>
      <c r="N83" s="21">
        <f>LEN(TRIM(CLEAN(SUBSTITUTE(ProjTextTable[[#This Row],[text]],CHAR(10)," "))))+1 - LEN(SUBSTITUTE(CLEAN(SUBSTITUTE(ProjTextTable[[#This Row],[text]],CHAR(10)," "))," ",""))</f>
        <v>1024</v>
      </c>
      <c r="O83" t="s">
        <v>13</v>
      </c>
      <c r="P83" t="s">
        <v>1098</v>
      </c>
    </row>
    <row r="84" spans="1:16">
      <c r="A84">
        <f t="shared" si="1"/>
        <v>13</v>
      </c>
      <c r="B84" t="s">
        <v>1094</v>
      </c>
      <c r="C84" t="s">
        <v>1095</v>
      </c>
      <c r="D84" t="s">
        <v>2</v>
      </c>
      <c r="E84" t="s">
        <v>540</v>
      </c>
      <c r="F84" t="s">
        <v>13</v>
      </c>
      <c r="G84" t="s">
        <v>925</v>
      </c>
      <c r="H84" t="s">
        <v>13</v>
      </c>
      <c r="I84" t="s">
        <v>13</v>
      </c>
      <c r="K84" s="30"/>
      <c r="L84" s="8">
        <v>42927.466689814813</v>
      </c>
      <c r="M84" s="21">
        <f>LEN(ProjTextTable[[#This Row],[text]])</f>
        <v>6180</v>
      </c>
      <c r="N84" s="21">
        <f>LEN(TRIM(CLEAN(SUBSTITUTE(ProjTextTable[[#This Row],[text]],CHAR(10)," "))))+1 - LEN(SUBSTITUTE(CLEAN(SUBSTITUTE(ProjTextTable[[#This Row],[text]],CHAR(10)," "))," ",""))</f>
        <v>912</v>
      </c>
      <c r="O84" t="s">
        <v>13</v>
      </c>
      <c r="P84" t="s">
        <v>1099</v>
      </c>
    </row>
    <row r="85" spans="1:16">
      <c r="A85">
        <f t="shared" si="1"/>
        <v>13</v>
      </c>
      <c r="B85" t="s">
        <v>1094</v>
      </c>
      <c r="C85" t="s">
        <v>1095</v>
      </c>
      <c r="D85" t="s">
        <v>194</v>
      </c>
      <c r="E85" t="s">
        <v>543</v>
      </c>
      <c r="F85" t="s">
        <v>1100</v>
      </c>
      <c r="G85" t="s">
        <v>1101</v>
      </c>
      <c r="H85" t="s">
        <v>1102</v>
      </c>
      <c r="I85" t="s">
        <v>95</v>
      </c>
      <c r="J85" t="s">
        <v>176</v>
      </c>
      <c r="K85" s="30">
        <v>42872</v>
      </c>
      <c r="L85" s="8">
        <v>42871.412928240738</v>
      </c>
      <c r="M85" s="21">
        <f>LEN(ProjTextTable[[#This Row],[text]])</f>
        <v>5104</v>
      </c>
      <c r="N85" s="21">
        <f>LEN(TRIM(CLEAN(SUBSTITUTE(ProjTextTable[[#This Row],[text]],CHAR(10)," "))))+1 - LEN(SUBSTITUTE(CLEAN(SUBSTITUTE(ProjTextTable[[#This Row],[text]],CHAR(10)," "))," ",""))</f>
        <v>830</v>
      </c>
      <c r="O85" t="s">
        <v>199</v>
      </c>
      <c r="P85" t="s">
        <v>1103</v>
      </c>
    </row>
    <row r="86" spans="1:16">
      <c r="A86">
        <f t="shared" si="1"/>
        <v>13</v>
      </c>
      <c r="B86" t="s">
        <v>1094</v>
      </c>
      <c r="C86" t="s">
        <v>1095</v>
      </c>
      <c r="D86" t="s">
        <v>194</v>
      </c>
      <c r="E86" t="s">
        <v>543</v>
      </c>
      <c r="F86" t="s">
        <v>1089</v>
      </c>
      <c r="G86" t="s">
        <v>1090</v>
      </c>
      <c r="H86" t="s">
        <v>1091</v>
      </c>
      <c r="I86" t="s">
        <v>95</v>
      </c>
      <c r="J86" t="s">
        <v>176</v>
      </c>
      <c r="K86" s="30">
        <v>42872</v>
      </c>
      <c r="L86" s="8">
        <v>42870.014525462961</v>
      </c>
      <c r="M86" s="21">
        <f>LEN(ProjTextTable[[#This Row],[text]])</f>
        <v>3884</v>
      </c>
      <c r="N86" s="21">
        <f>LEN(TRIM(CLEAN(SUBSTITUTE(ProjTextTable[[#This Row],[text]],CHAR(10)," "))))+1 - LEN(SUBSTITUTE(CLEAN(SUBSTITUTE(ProjTextTable[[#This Row],[text]],CHAR(10)," "))," ",""))</f>
        <v>594</v>
      </c>
      <c r="O86" t="s">
        <v>198</v>
      </c>
      <c r="P86" t="s">
        <v>1104</v>
      </c>
    </row>
    <row r="87" spans="1:16">
      <c r="A87">
        <f t="shared" si="1"/>
        <v>13</v>
      </c>
      <c r="B87" t="s">
        <v>1094</v>
      </c>
      <c r="C87" t="s">
        <v>1095</v>
      </c>
      <c r="D87" t="s">
        <v>194</v>
      </c>
      <c r="E87" t="s">
        <v>543</v>
      </c>
      <c r="F87" t="s">
        <v>1105</v>
      </c>
      <c r="G87" t="s">
        <v>1106</v>
      </c>
      <c r="H87" t="s">
        <v>1107</v>
      </c>
      <c r="I87" t="s">
        <v>95</v>
      </c>
      <c r="J87" t="s">
        <v>176</v>
      </c>
      <c r="K87" s="30">
        <v>42872</v>
      </c>
      <c r="L87" s="8">
        <v>42872.390914351854</v>
      </c>
      <c r="M87" s="21">
        <f>LEN(ProjTextTable[[#This Row],[text]])</f>
        <v>3789</v>
      </c>
      <c r="N87" s="21">
        <f>LEN(TRIM(CLEAN(SUBSTITUTE(ProjTextTable[[#This Row],[text]],CHAR(10)," "))))+1 - LEN(SUBSTITUTE(CLEAN(SUBSTITUTE(ProjTextTable[[#This Row],[text]],CHAR(10)," "))," ",""))</f>
        <v>595</v>
      </c>
      <c r="O87" t="s">
        <v>199</v>
      </c>
      <c r="P87" t="s">
        <v>1108</v>
      </c>
    </row>
    <row r="88" spans="1:16">
      <c r="A88">
        <f t="shared" si="1"/>
        <v>13</v>
      </c>
      <c r="B88" t="s">
        <v>1094</v>
      </c>
      <c r="C88" t="s">
        <v>1095</v>
      </c>
      <c r="D88" t="s">
        <v>196</v>
      </c>
      <c r="E88" t="s">
        <v>540</v>
      </c>
      <c r="F88" t="s">
        <v>13</v>
      </c>
      <c r="G88" t="s">
        <v>13</v>
      </c>
      <c r="H88" t="s">
        <v>13</v>
      </c>
      <c r="K88" s="30"/>
      <c r="L88" s="8">
        <v>42810.042280092595</v>
      </c>
      <c r="M88" s="21">
        <f>LEN(ProjTextTable[[#This Row],[text]])</f>
        <v>3488</v>
      </c>
      <c r="N88" s="21">
        <f>LEN(TRIM(CLEAN(SUBSTITUTE(ProjTextTable[[#This Row],[text]],CHAR(10)," "))))+1 - LEN(SUBSTITUTE(CLEAN(SUBSTITUTE(ProjTextTable[[#This Row],[text]],CHAR(10)," "))," ",""))</f>
        <v>505</v>
      </c>
      <c r="O88" t="s">
        <v>13</v>
      </c>
      <c r="P88" t="s">
        <v>1109</v>
      </c>
    </row>
    <row r="89" spans="1:16">
      <c r="A89">
        <f t="shared" si="1"/>
        <v>13</v>
      </c>
      <c r="B89" t="s">
        <v>1094</v>
      </c>
      <c r="C89" t="s">
        <v>1095</v>
      </c>
      <c r="D89" t="s">
        <v>968</v>
      </c>
      <c r="E89" t="s">
        <v>540</v>
      </c>
      <c r="F89" t="s">
        <v>1094</v>
      </c>
      <c r="G89" t="s">
        <v>976</v>
      </c>
      <c r="H89" t="s">
        <v>1110</v>
      </c>
      <c r="K89" s="30"/>
      <c r="L89" s="8">
        <v>42923.155011574076</v>
      </c>
      <c r="M89" s="21">
        <f>LEN(ProjTextTable[[#This Row],[text]])</f>
        <v>2216</v>
      </c>
      <c r="N89" s="21">
        <f>LEN(TRIM(CLEAN(SUBSTITUTE(ProjTextTable[[#This Row],[text]],CHAR(10)," "))))+1 - LEN(SUBSTITUTE(CLEAN(SUBSTITUTE(ProjTextTable[[#This Row],[text]],CHAR(10)," "))," ",""))</f>
        <v>333</v>
      </c>
      <c r="O89" t="s">
        <v>13</v>
      </c>
      <c r="P89" t="s">
        <v>1111</v>
      </c>
    </row>
    <row r="90" spans="1:16">
      <c r="A90">
        <f t="shared" si="1"/>
        <v>14</v>
      </c>
      <c r="B90" t="s">
        <v>1112</v>
      </c>
      <c r="C90" t="s">
        <v>1113</v>
      </c>
      <c r="D90" t="s">
        <v>205</v>
      </c>
      <c r="E90" t="s">
        <v>543</v>
      </c>
      <c r="F90" t="s">
        <v>919</v>
      </c>
      <c r="G90" t="s">
        <v>920</v>
      </c>
      <c r="H90" t="s">
        <v>974</v>
      </c>
      <c r="I90" t="s">
        <v>200</v>
      </c>
      <c r="J90" t="s">
        <v>546</v>
      </c>
      <c r="K90" s="30">
        <v>42871</v>
      </c>
      <c r="L90" s="8"/>
      <c r="M90" s="21">
        <f>LEN(ProjTextTable[[#This Row],[text]])</f>
        <v>1</v>
      </c>
      <c r="N90" s="21">
        <f>LEN(TRIM(CLEAN(SUBSTITUTE(ProjTextTable[[#This Row],[text]],CHAR(10)," "))))+1 - LEN(SUBSTITUTE(CLEAN(SUBSTITUTE(ProjTextTable[[#This Row],[text]],CHAR(10)," "))," ",""))</f>
        <v>1</v>
      </c>
      <c r="O90" t="s">
        <v>975</v>
      </c>
      <c r="P90" t="s">
        <v>13</v>
      </c>
    </row>
    <row r="91" spans="1:16">
      <c r="A91">
        <f t="shared" si="1"/>
        <v>14</v>
      </c>
      <c r="B91" t="s">
        <v>1112</v>
      </c>
      <c r="C91" t="s">
        <v>1113</v>
      </c>
      <c r="D91" t="s">
        <v>951</v>
      </c>
      <c r="E91" t="s">
        <v>540</v>
      </c>
      <c r="F91" t="s">
        <v>1112</v>
      </c>
      <c r="G91" t="s">
        <v>976</v>
      </c>
      <c r="H91" t="s">
        <v>13</v>
      </c>
      <c r="I91" t="s">
        <v>13</v>
      </c>
      <c r="J91" t="s">
        <v>396</v>
      </c>
      <c r="K91" s="30">
        <v>42955.725694444445</v>
      </c>
      <c r="L91" s="8">
        <v>44781.725694444445</v>
      </c>
      <c r="M91" s="21">
        <f>LEN(ProjTextTable[[#This Row],[text]])</f>
        <v>2107</v>
      </c>
      <c r="N91" s="21">
        <f>LEN(TRIM(CLEAN(SUBSTITUTE(ProjTextTable[[#This Row],[text]],CHAR(10)," "))))+1 - LEN(SUBSTITUTE(CLEAN(SUBSTITUTE(ProjTextTable[[#This Row],[text]],CHAR(10)," "))," ",""))</f>
        <v>332</v>
      </c>
      <c r="O91" t="s">
        <v>13</v>
      </c>
      <c r="P91" t="s">
        <v>977</v>
      </c>
    </row>
    <row r="92" spans="1:16">
      <c r="A92">
        <f t="shared" si="1"/>
        <v>14</v>
      </c>
      <c r="B92" t="s">
        <v>1112</v>
      </c>
      <c r="C92" t="s">
        <v>1113</v>
      </c>
      <c r="D92" t="s">
        <v>2</v>
      </c>
      <c r="E92" t="s">
        <v>540</v>
      </c>
      <c r="F92" t="s">
        <v>13</v>
      </c>
      <c r="G92" t="s">
        <v>925</v>
      </c>
      <c r="H92" t="s">
        <v>13</v>
      </c>
      <c r="I92" t="s">
        <v>13</v>
      </c>
      <c r="K92" s="30"/>
      <c r="L92" s="8">
        <v>42914.640474537038</v>
      </c>
      <c r="M92" s="21">
        <f>LEN(ProjTextTable[[#This Row],[text]])</f>
        <v>2087</v>
      </c>
      <c r="N92" s="21">
        <f>LEN(TRIM(CLEAN(SUBSTITUTE(ProjTextTable[[#This Row],[text]],CHAR(10)," "))))+1 - LEN(SUBSTITUTE(CLEAN(SUBSTITUTE(ProjTextTable[[#This Row],[text]],CHAR(10)," "))," ",""))</f>
        <v>307</v>
      </c>
      <c r="O92" t="s">
        <v>13</v>
      </c>
      <c r="P92" t="s">
        <v>1114</v>
      </c>
    </row>
    <row r="93" spans="1:16">
      <c r="A93">
        <f t="shared" si="1"/>
        <v>14</v>
      </c>
      <c r="B93" t="s">
        <v>1112</v>
      </c>
      <c r="C93" t="s">
        <v>1113</v>
      </c>
      <c r="D93" t="s">
        <v>194</v>
      </c>
      <c r="E93" t="s">
        <v>543</v>
      </c>
      <c r="F93" t="s">
        <v>1100</v>
      </c>
      <c r="G93" t="s">
        <v>1101</v>
      </c>
      <c r="H93" t="s">
        <v>1102</v>
      </c>
      <c r="I93" t="s">
        <v>95</v>
      </c>
      <c r="J93" t="s">
        <v>176</v>
      </c>
      <c r="K93" s="30">
        <v>42872</v>
      </c>
      <c r="L93" s="8">
        <v>42869.049942129626</v>
      </c>
      <c r="M93" s="21">
        <f>LEN(ProjTextTable[[#This Row],[text]])</f>
        <v>4060</v>
      </c>
      <c r="N93" s="21">
        <f>LEN(TRIM(CLEAN(SUBSTITUTE(ProjTextTable[[#This Row],[text]],CHAR(10)," "))))+1 - LEN(SUBSTITUTE(CLEAN(SUBSTITUTE(ProjTextTable[[#This Row],[text]],CHAR(10)," "))," ",""))</f>
        <v>624</v>
      </c>
      <c r="O93" t="s">
        <v>201</v>
      </c>
      <c r="P93" t="s">
        <v>1115</v>
      </c>
    </row>
    <row r="94" spans="1:16">
      <c r="A94">
        <f t="shared" si="1"/>
        <v>14</v>
      </c>
      <c r="B94" t="s">
        <v>1112</v>
      </c>
      <c r="C94" t="s">
        <v>1113</v>
      </c>
      <c r="D94" t="s">
        <v>194</v>
      </c>
      <c r="E94" t="s">
        <v>543</v>
      </c>
      <c r="F94" t="s">
        <v>979</v>
      </c>
      <c r="G94" t="s">
        <v>980</v>
      </c>
      <c r="H94" t="s">
        <v>981</v>
      </c>
      <c r="I94" t="s">
        <v>95</v>
      </c>
      <c r="J94" t="s">
        <v>176</v>
      </c>
      <c r="K94" s="30">
        <v>42872</v>
      </c>
      <c r="L94" s="8">
        <v>42859.702696759261</v>
      </c>
      <c r="M94" s="21">
        <f>LEN(ProjTextTable[[#This Row],[text]])</f>
        <v>3487</v>
      </c>
      <c r="N94" s="21">
        <f>LEN(TRIM(CLEAN(SUBSTITUTE(ProjTextTable[[#This Row],[text]],CHAR(10)," "))))+1 - LEN(SUBSTITUTE(CLEAN(SUBSTITUTE(ProjTextTable[[#This Row],[text]],CHAR(10)," "))," ",""))</f>
        <v>526</v>
      </c>
      <c r="O94" t="s">
        <v>195</v>
      </c>
      <c r="P94" t="s">
        <v>1116</v>
      </c>
    </row>
    <row r="95" spans="1:16">
      <c r="A95">
        <f t="shared" si="1"/>
        <v>14</v>
      </c>
      <c r="B95" t="s">
        <v>1112</v>
      </c>
      <c r="C95" t="s">
        <v>1113</v>
      </c>
      <c r="D95" t="s">
        <v>194</v>
      </c>
      <c r="E95" t="s">
        <v>543</v>
      </c>
      <c r="F95" t="s">
        <v>931</v>
      </c>
      <c r="G95" t="s">
        <v>932</v>
      </c>
      <c r="H95" t="s">
        <v>933</v>
      </c>
      <c r="I95" t="s">
        <v>95</v>
      </c>
      <c r="J95" t="s">
        <v>176</v>
      </c>
      <c r="K95" s="30">
        <v>42872</v>
      </c>
      <c r="L95" s="8">
        <v>42871.874421296299</v>
      </c>
      <c r="M95" s="21">
        <f>LEN(ProjTextTable[[#This Row],[text]])</f>
        <v>3698</v>
      </c>
      <c r="N95" s="21">
        <f>LEN(TRIM(CLEAN(SUBSTITUTE(ProjTextTable[[#This Row],[text]],CHAR(10)," "))))+1 - LEN(SUBSTITUTE(CLEAN(SUBSTITUTE(ProjTextTable[[#This Row],[text]],CHAR(10)," "))," ",""))</f>
        <v>554</v>
      </c>
      <c r="O95" t="s">
        <v>195</v>
      </c>
      <c r="P95" t="s">
        <v>1117</v>
      </c>
    </row>
    <row r="96" spans="1:16">
      <c r="A96">
        <f t="shared" si="1"/>
        <v>14</v>
      </c>
      <c r="B96" t="s">
        <v>1112</v>
      </c>
      <c r="C96" t="s">
        <v>1113</v>
      </c>
      <c r="D96" t="s">
        <v>196</v>
      </c>
      <c r="E96" t="s">
        <v>540</v>
      </c>
      <c r="F96" t="s">
        <v>13</v>
      </c>
      <c r="G96" t="s">
        <v>13</v>
      </c>
      <c r="H96" t="s">
        <v>13</v>
      </c>
      <c r="K96" s="30"/>
      <c r="L96" s="8">
        <v>42810.042291666665</v>
      </c>
      <c r="M96" s="21">
        <f>LEN(ProjTextTable[[#This Row],[text]])</f>
        <v>4036</v>
      </c>
      <c r="N96" s="21">
        <f>LEN(TRIM(CLEAN(SUBSTITUTE(ProjTextTable[[#This Row],[text]],CHAR(10)," "))))+1 - LEN(SUBSTITUTE(CLEAN(SUBSTITUTE(ProjTextTable[[#This Row],[text]],CHAR(10)," "))," ",""))</f>
        <v>597</v>
      </c>
      <c r="O96" t="s">
        <v>13</v>
      </c>
      <c r="P96" t="s">
        <v>1118</v>
      </c>
    </row>
    <row r="97" spans="1:16">
      <c r="A97">
        <f t="shared" si="1"/>
        <v>15</v>
      </c>
      <c r="B97" t="s">
        <v>1119</v>
      </c>
      <c r="C97" t="s">
        <v>1120</v>
      </c>
      <c r="D97" t="s">
        <v>205</v>
      </c>
      <c r="E97" t="s">
        <v>543</v>
      </c>
      <c r="F97" t="s">
        <v>919</v>
      </c>
      <c r="G97" t="s">
        <v>920</v>
      </c>
      <c r="H97" t="s">
        <v>1004</v>
      </c>
      <c r="I97" t="s">
        <v>197</v>
      </c>
      <c r="J97" t="s">
        <v>1121</v>
      </c>
      <c r="K97" s="30">
        <v>42871</v>
      </c>
      <c r="L97" s="8">
        <v>42932.439062500001</v>
      </c>
      <c r="M97" s="21">
        <f>LEN(ProjTextTable[[#This Row],[text]])</f>
        <v>3018</v>
      </c>
      <c r="N97" s="21">
        <f>LEN(TRIM(CLEAN(SUBSTITUTE(ProjTextTable[[#This Row],[text]],CHAR(10)," "))))+1 - LEN(SUBSTITUTE(CLEAN(SUBSTITUTE(ProjTextTable[[#This Row],[text]],CHAR(10)," "))," ",""))</f>
        <v>440</v>
      </c>
      <c r="O97" t="s">
        <v>176</v>
      </c>
      <c r="P97" t="s">
        <v>1122</v>
      </c>
    </row>
    <row r="98" spans="1:16">
      <c r="A98">
        <f t="shared" si="1"/>
        <v>15</v>
      </c>
      <c r="B98" t="s">
        <v>1119</v>
      </c>
      <c r="C98" t="s">
        <v>1120</v>
      </c>
      <c r="D98" t="s">
        <v>397</v>
      </c>
      <c r="E98" t="s">
        <v>543</v>
      </c>
      <c r="F98" t="s">
        <v>13</v>
      </c>
      <c r="G98" t="s">
        <v>987</v>
      </c>
      <c r="H98" t="s">
        <v>13</v>
      </c>
      <c r="I98" t="s">
        <v>13</v>
      </c>
      <c r="K98" s="30"/>
      <c r="L98" s="8">
        <v>42929.699317129627</v>
      </c>
      <c r="M98" s="21">
        <f>LEN(ProjTextTable[[#This Row],[text]])</f>
        <v>1474</v>
      </c>
      <c r="N98" s="21">
        <f>LEN(TRIM(CLEAN(SUBSTITUTE(ProjTextTable[[#This Row],[text]],CHAR(10)," "))))+1 - LEN(SUBSTITUTE(CLEAN(SUBSTITUTE(ProjTextTable[[#This Row],[text]],CHAR(10)," "))," ",""))</f>
        <v>212</v>
      </c>
      <c r="O98" t="s">
        <v>13</v>
      </c>
      <c r="P98" t="s">
        <v>1123</v>
      </c>
    </row>
    <row r="99" spans="1:16">
      <c r="A99">
        <f t="shared" si="1"/>
        <v>15</v>
      </c>
      <c r="B99" t="s">
        <v>1119</v>
      </c>
      <c r="C99" t="s">
        <v>1120</v>
      </c>
      <c r="D99" t="s">
        <v>951</v>
      </c>
      <c r="E99" t="s">
        <v>543</v>
      </c>
      <c r="F99" t="s">
        <v>1119</v>
      </c>
      <c r="G99" t="s">
        <v>987</v>
      </c>
      <c r="H99" t="s">
        <v>13</v>
      </c>
      <c r="I99" t="s">
        <v>13</v>
      </c>
      <c r="J99" t="s">
        <v>953</v>
      </c>
      <c r="K99" s="30">
        <v>42930.568749999999</v>
      </c>
      <c r="L99" s="8">
        <v>44756.568749999999</v>
      </c>
      <c r="M99" s="21">
        <f>LEN(ProjTextTable[[#This Row],[text]])</f>
        <v>5905</v>
      </c>
      <c r="N99" s="21">
        <f>LEN(TRIM(CLEAN(SUBSTITUTE(ProjTextTable[[#This Row],[text]],CHAR(10)," "))))+1 - LEN(SUBSTITUTE(CLEAN(SUBSTITUTE(ProjTextTable[[#This Row],[text]],CHAR(10)," "))," ",""))</f>
        <v>866</v>
      </c>
      <c r="O99" t="s">
        <v>13</v>
      </c>
      <c r="P99" t="s">
        <v>1124</v>
      </c>
    </row>
    <row r="100" spans="1:16">
      <c r="A100">
        <f t="shared" si="1"/>
        <v>15</v>
      </c>
      <c r="B100" t="s">
        <v>1119</v>
      </c>
      <c r="C100" t="s">
        <v>1120</v>
      </c>
      <c r="D100" t="s">
        <v>2</v>
      </c>
      <c r="E100" t="s">
        <v>543</v>
      </c>
      <c r="F100" t="s">
        <v>13</v>
      </c>
      <c r="G100" t="s">
        <v>925</v>
      </c>
      <c r="H100" t="s">
        <v>13</v>
      </c>
      <c r="I100" t="s">
        <v>13</v>
      </c>
      <c r="K100" s="30"/>
      <c r="L100" s="8">
        <v>42933.641435185185</v>
      </c>
      <c r="M100" s="21">
        <f>LEN(ProjTextTable[[#This Row],[text]])</f>
        <v>7551</v>
      </c>
      <c r="N100" s="21">
        <f>LEN(TRIM(CLEAN(SUBSTITUTE(ProjTextTable[[#This Row],[text]],CHAR(10)," "))))+1 - LEN(SUBSTITUTE(CLEAN(SUBSTITUTE(ProjTextTable[[#This Row],[text]],CHAR(10)," "))," ",""))</f>
        <v>1098</v>
      </c>
      <c r="O100" t="s">
        <v>13</v>
      </c>
      <c r="P100" t="s">
        <v>1125</v>
      </c>
    </row>
    <row r="101" spans="1:16">
      <c r="A101">
        <f t="shared" si="1"/>
        <v>15</v>
      </c>
      <c r="B101" t="s">
        <v>1119</v>
      </c>
      <c r="C101" t="s">
        <v>1120</v>
      </c>
      <c r="D101" t="s">
        <v>194</v>
      </c>
      <c r="E101" t="s">
        <v>543</v>
      </c>
      <c r="F101" t="s">
        <v>1089</v>
      </c>
      <c r="G101" t="s">
        <v>1090</v>
      </c>
      <c r="H101" t="s">
        <v>1091</v>
      </c>
      <c r="I101" t="s">
        <v>95</v>
      </c>
      <c r="J101" t="s">
        <v>176</v>
      </c>
      <c r="K101" s="30">
        <v>42872</v>
      </c>
      <c r="L101" s="8">
        <v>42867.920983796299</v>
      </c>
      <c r="M101" s="21">
        <f>LEN(ProjTextTable[[#This Row],[text]])</f>
        <v>3662</v>
      </c>
      <c r="N101" s="21">
        <f>LEN(TRIM(CLEAN(SUBSTITUTE(ProjTextTable[[#This Row],[text]],CHAR(10)," "))))+1 - LEN(SUBSTITUTE(CLEAN(SUBSTITUTE(ProjTextTable[[#This Row],[text]],CHAR(10)," "))," ",""))</f>
        <v>547</v>
      </c>
      <c r="O101" t="s">
        <v>202</v>
      </c>
      <c r="P101" t="s">
        <v>1126</v>
      </c>
    </row>
    <row r="102" spans="1:16">
      <c r="A102">
        <f t="shared" si="1"/>
        <v>15</v>
      </c>
      <c r="B102" t="s">
        <v>1119</v>
      </c>
      <c r="C102" t="s">
        <v>1120</v>
      </c>
      <c r="D102" t="s">
        <v>194</v>
      </c>
      <c r="E102" t="s">
        <v>543</v>
      </c>
      <c r="F102" t="s">
        <v>1127</v>
      </c>
      <c r="G102" t="s">
        <v>1128</v>
      </c>
      <c r="H102" t="s">
        <v>1129</v>
      </c>
      <c r="I102" t="s">
        <v>95</v>
      </c>
      <c r="J102" t="s">
        <v>176</v>
      </c>
      <c r="K102" s="30">
        <v>42872</v>
      </c>
      <c r="L102" s="8">
        <v>42871.297071759262</v>
      </c>
      <c r="M102" s="21">
        <f>LEN(ProjTextTable[[#This Row],[text]])</f>
        <v>3093</v>
      </c>
      <c r="N102" s="21">
        <f>LEN(TRIM(CLEAN(SUBSTITUTE(ProjTextTable[[#This Row],[text]],CHAR(10)," "))))+1 - LEN(SUBSTITUTE(CLEAN(SUBSTITUTE(ProjTextTable[[#This Row],[text]],CHAR(10)," "))," ",""))</f>
        <v>489</v>
      </c>
      <c r="O102" t="s">
        <v>199</v>
      </c>
      <c r="P102" t="s">
        <v>1130</v>
      </c>
    </row>
    <row r="103" spans="1:16">
      <c r="A103">
        <f t="shared" si="1"/>
        <v>15</v>
      </c>
      <c r="B103" t="s">
        <v>1119</v>
      </c>
      <c r="C103" t="s">
        <v>1120</v>
      </c>
      <c r="D103" t="s">
        <v>194</v>
      </c>
      <c r="E103" t="s">
        <v>543</v>
      </c>
      <c r="F103" t="s">
        <v>935</v>
      </c>
      <c r="G103" t="s">
        <v>936</v>
      </c>
      <c r="H103" t="s">
        <v>937</v>
      </c>
      <c r="I103" t="s">
        <v>95</v>
      </c>
      <c r="J103" t="s">
        <v>176</v>
      </c>
      <c r="K103" s="30">
        <v>42872</v>
      </c>
      <c r="L103" s="8">
        <v>42872.510474537034</v>
      </c>
      <c r="M103" s="21">
        <f>LEN(ProjTextTable[[#This Row],[text]])</f>
        <v>4484</v>
      </c>
      <c r="N103" s="21">
        <f>LEN(TRIM(CLEAN(SUBSTITUTE(ProjTextTable[[#This Row],[text]],CHAR(10)," "))))+1 - LEN(SUBSTITUTE(CLEAN(SUBSTITUTE(ProjTextTable[[#This Row],[text]],CHAR(10)," "))," ",""))</f>
        <v>627</v>
      </c>
      <c r="O103" t="s">
        <v>198</v>
      </c>
      <c r="P103" t="s">
        <v>1131</v>
      </c>
    </row>
    <row r="104" spans="1:16">
      <c r="A104">
        <f t="shared" si="1"/>
        <v>15</v>
      </c>
      <c r="B104" t="s">
        <v>1119</v>
      </c>
      <c r="C104" t="s">
        <v>1120</v>
      </c>
      <c r="D104" t="s">
        <v>196</v>
      </c>
      <c r="E104" t="s">
        <v>543</v>
      </c>
      <c r="F104" t="s">
        <v>13</v>
      </c>
      <c r="G104" t="s">
        <v>13</v>
      </c>
      <c r="H104" t="s">
        <v>13</v>
      </c>
      <c r="K104" s="30"/>
      <c r="L104" s="8">
        <v>42810.042291666665</v>
      </c>
      <c r="M104" s="21">
        <f>LEN(ProjTextTable[[#This Row],[text]])</f>
        <v>2708</v>
      </c>
      <c r="N104" s="21">
        <f>LEN(TRIM(CLEAN(SUBSTITUTE(ProjTextTable[[#This Row],[text]],CHAR(10)," "))))+1 - LEN(SUBSTITUTE(CLEAN(SUBSTITUTE(ProjTextTable[[#This Row],[text]],CHAR(10)," "))," ",""))</f>
        <v>387</v>
      </c>
      <c r="O104" t="s">
        <v>13</v>
      </c>
      <c r="P104" t="s">
        <v>1132</v>
      </c>
    </row>
    <row r="105" spans="1:16">
      <c r="A105">
        <f t="shared" si="1"/>
        <v>16</v>
      </c>
      <c r="B105" t="s">
        <v>1133</v>
      </c>
      <c r="C105" t="s">
        <v>1134</v>
      </c>
      <c r="D105" t="s">
        <v>205</v>
      </c>
      <c r="E105" t="s">
        <v>543</v>
      </c>
      <c r="F105" t="s">
        <v>919</v>
      </c>
      <c r="G105" t="s">
        <v>920</v>
      </c>
      <c r="H105" t="s">
        <v>974</v>
      </c>
      <c r="I105" t="s">
        <v>200</v>
      </c>
      <c r="J105" t="s">
        <v>546</v>
      </c>
      <c r="K105" s="30">
        <v>42871</v>
      </c>
      <c r="L105" s="8"/>
      <c r="M105" s="21">
        <f>LEN(ProjTextTable[[#This Row],[text]])</f>
        <v>1</v>
      </c>
      <c r="N105" s="21">
        <f>LEN(TRIM(CLEAN(SUBSTITUTE(ProjTextTable[[#This Row],[text]],CHAR(10)," "))))+1 - LEN(SUBSTITUTE(CLEAN(SUBSTITUTE(ProjTextTable[[#This Row],[text]],CHAR(10)," "))," ",""))</f>
        <v>1</v>
      </c>
      <c r="O105" t="s">
        <v>975</v>
      </c>
      <c r="P105" t="s">
        <v>13</v>
      </c>
    </row>
    <row r="106" spans="1:16">
      <c r="A106">
        <f t="shared" si="1"/>
        <v>16</v>
      </c>
      <c r="B106" t="s">
        <v>1133</v>
      </c>
      <c r="C106" t="s">
        <v>1134</v>
      </c>
      <c r="D106" t="s">
        <v>951</v>
      </c>
      <c r="E106" t="s">
        <v>540</v>
      </c>
      <c r="F106" t="s">
        <v>1133</v>
      </c>
      <c r="G106" t="s">
        <v>976</v>
      </c>
      <c r="H106" t="s">
        <v>13</v>
      </c>
      <c r="I106" t="s">
        <v>13</v>
      </c>
      <c r="J106" t="s">
        <v>396</v>
      </c>
      <c r="K106" s="30">
        <v>42955.695833333331</v>
      </c>
      <c r="L106" s="8">
        <v>44781.695833333331</v>
      </c>
      <c r="M106" s="21">
        <f>LEN(ProjTextTable[[#This Row],[text]])</f>
        <v>2107</v>
      </c>
      <c r="N106" s="21">
        <f>LEN(TRIM(CLEAN(SUBSTITUTE(ProjTextTable[[#This Row],[text]],CHAR(10)," "))))+1 - LEN(SUBSTITUTE(CLEAN(SUBSTITUTE(ProjTextTable[[#This Row],[text]],CHAR(10)," "))," ",""))</f>
        <v>332</v>
      </c>
      <c r="O106" t="s">
        <v>13</v>
      </c>
      <c r="P106" t="s">
        <v>977</v>
      </c>
    </row>
    <row r="107" spans="1:16">
      <c r="A107">
        <f t="shared" si="1"/>
        <v>16</v>
      </c>
      <c r="B107" t="s">
        <v>1133</v>
      </c>
      <c r="C107" t="s">
        <v>1134</v>
      </c>
      <c r="D107" t="s">
        <v>2</v>
      </c>
      <c r="E107" t="s">
        <v>540</v>
      </c>
      <c r="F107" t="s">
        <v>13</v>
      </c>
      <c r="G107" t="s">
        <v>925</v>
      </c>
      <c r="H107" t="s">
        <v>13</v>
      </c>
      <c r="I107" t="s">
        <v>13</v>
      </c>
      <c r="K107" s="30"/>
      <c r="L107" s="8">
        <v>42914.640543981484</v>
      </c>
      <c r="M107" s="21">
        <f>LEN(ProjTextTable[[#This Row],[text]])</f>
        <v>1971</v>
      </c>
      <c r="N107" s="21">
        <f>LEN(TRIM(CLEAN(SUBSTITUTE(ProjTextTable[[#This Row],[text]],CHAR(10)," "))))+1 - LEN(SUBSTITUTE(CLEAN(SUBSTITUTE(ProjTextTable[[#This Row],[text]],CHAR(10)," "))," ",""))</f>
        <v>289</v>
      </c>
      <c r="O107" t="s">
        <v>13</v>
      </c>
      <c r="P107" t="s">
        <v>1135</v>
      </c>
    </row>
    <row r="108" spans="1:16">
      <c r="A108">
        <f t="shared" si="1"/>
        <v>16</v>
      </c>
      <c r="B108" t="s">
        <v>1133</v>
      </c>
      <c r="C108" t="s">
        <v>1134</v>
      </c>
      <c r="D108" t="s">
        <v>194</v>
      </c>
      <c r="E108" t="s">
        <v>543</v>
      </c>
      <c r="F108" t="s">
        <v>1100</v>
      </c>
      <c r="G108" t="s">
        <v>1101</v>
      </c>
      <c r="H108" t="s">
        <v>1102</v>
      </c>
      <c r="I108" t="s">
        <v>95</v>
      </c>
      <c r="J108" t="s">
        <v>176</v>
      </c>
      <c r="K108" s="30">
        <v>42872</v>
      </c>
      <c r="L108" s="8">
        <v>42868.855196759258</v>
      </c>
      <c r="M108" s="21">
        <f>LEN(ProjTextTable[[#This Row],[text]])</f>
        <v>4696</v>
      </c>
      <c r="N108" s="21">
        <f>LEN(TRIM(CLEAN(SUBSTITUTE(ProjTextTable[[#This Row],[text]],CHAR(10)," "))))+1 - LEN(SUBSTITUTE(CLEAN(SUBSTITUTE(ProjTextTable[[#This Row],[text]],CHAR(10)," "))," ",""))</f>
        <v>767</v>
      </c>
      <c r="O108" t="s">
        <v>201</v>
      </c>
      <c r="P108" t="s">
        <v>1136</v>
      </c>
    </row>
    <row r="109" spans="1:16">
      <c r="A109">
        <f t="shared" si="1"/>
        <v>16</v>
      </c>
      <c r="B109" t="s">
        <v>1133</v>
      </c>
      <c r="C109" t="s">
        <v>1134</v>
      </c>
      <c r="D109" t="s">
        <v>194</v>
      </c>
      <c r="E109" t="s">
        <v>543</v>
      </c>
      <c r="F109" t="s">
        <v>1127</v>
      </c>
      <c r="G109" t="s">
        <v>1128</v>
      </c>
      <c r="H109" t="s">
        <v>1129</v>
      </c>
      <c r="I109" t="s">
        <v>95</v>
      </c>
      <c r="J109" t="s">
        <v>176</v>
      </c>
      <c r="K109" s="30">
        <v>42872</v>
      </c>
      <c r="L109" s="8">
        <v>42870.936736111114</v>
      </c>
      <c r="M109" s="21">
        <f>LEN(ProjTextTable[[#This Row],[text]])</f>
        <v>3159</v>
      </c>
      <c r="N109" s="21">
        <f>LEN(TRIM(CLEAN(SUBSTITUTE(ProjTextTable[[#This Row],[text]],CHAR(10)," "))))+1 - LEN(SUBSTITUTE(CLEAN(SUBSTITUTE(ProjTextTable[[#This Row],[text]],CHAR(10)," "))," ",""))</f>
        <v>489</v>
      </c>
      <c r="O109" t="s">
        <v>203</v>
      </c>
      <c r="P109" t="s">
        <v>1137</v>
      </c>
    </row>
    <row r="110" spans="1:16">
      <c r="A110">
        <f t="shared" si="1"/>
        <v>16</v>
      </c>
      <c r="B110" t="s">
        <v>1133</v>
      </c>
      <c r="C110" t="s">
        <v>1134</v>
      </c>
      <c r="D110" t="s">
        <v>194</v>
      </c>
      <c r="E110" t="s">
        <v>543</v>
      </c>
      <c r="F110" t="s">
        <v>993</v>
      </c>
      <c r="G110" t="s">
        <v>994</v>
      </c>
      <c r="H110" t="s">
        <v>995</v>
      </c>
      <c r="I110" t="s">
        <v>95</v>
      </c>
      <c r="J110" t="s">
        <v>176</v>
      </c>
      <c r="K110" s="30">
        <v>42872</v>
      </c>
      <c r="L110" s="8">
        <v>42862.16914351852</v>
      </c>
      <c r="M110" s="21">
        <f>LEN(ProjTextTable[[#This Row],[text]])</f>
        <v>4414</v>
      </c>
      <c r="N110" s="21">
        <f>LEN(TRIM(CLEAN(SUBSTITUTE(ProjTextTable[[#This Row],[text]],CHAR(10)," "))))+1 - LEN(SUBSTITUTE(CLEAN(SUBSTITUTE(ProjTextTable[[#This Row],[text]],CHAR(10)," "))," ",""))</f>
        <v>673</v>
      </c>
      <c r="O110" t="s">
        <v>203</v>
      </c>
      <c r="P110" t="s">
        <v>1138</v>
      </c>
    </row>
    <row r="111" spans="1:16">
      <c r="A111">
        <f t="shared" si="1"/>
        <v>16</v>
      </c>
      <c r="B111" t="s">
        <v>1133</v>
      </c>
      <c r="C111" t="s">
        <v>1134</v>
      </c>
      <c r="D111" t="s">
        <v>196</v>
      </c>
      <c r="E111" t="s">
        <v>540</v>
      </c>
      <c r="F111" t="s">
        <v>13</v>
      </c>
      <c r="G111" t="s">
        <v>13</v>
      </c>
      <c r="H111" t="s">
        <v>13</v>
      </c>
      <c r="K111" s="30"/>
      <c r="L111" s="8">
        <v>42810.042303240742</v>
      </c>
      <c r="M111" s="21">
        <f>LEN(ProjTextTable[[#This Row],[text]])</f>
        <v>2802</v>
      </c>
      <c r="N111" s="21">
        <f>LEN(TRIM(CLEAN(SUBSTITUTE(ProjTextTable[[#This Row],[text]],CHAR(10)," "))))+1 - LEN(SUBSTITUTE(CLEAN(SUBSTITUTE(ProjTextTable[[#This Row],[text]],CHAR(10)," "))," ",""))</f>
        <v>400</v>
      </c>
      <c r="O111" t="s">
        <v>13</v>
      </c>
      <c r="P111" t="s">
        <v>1139</v>
      </c>
    </row>
    <row r="112" spans="1:16">
      <c r="A112">
        <f t="shared" si="1"/>
        <v>17</v>
      </c>
      <c r="B112" t="s">
        <v>1140</v>
      </c>
      <c r="C112" t="s">
        <v>1141</v>
      </c>
      <c r="D112" t="s">
        <v>205</v>
      </c>
      <c r="E112" t="s">
        <v>942</v>
      </c>
      <c r="F112" t="s">
        <v>943</v>
      </c>
      <c r="G112" t="s">
        <v>944</v>
      </c>
      <c r="H112" t="s">
        <v>1004</v>
      </c>
      <c r="I112" t="s">
        <v>197</v>
      </c>
      <c r="J112" t="s">
        <v>668</v>
      </c>
      <c r="K112" s="30">
        <v>42877</v>
      </c>
      <c r="L112" s="8">
        <v>42957.309317129628</v>
      </c>
      <c r="M112" s="21">
        <f>LEN(ProjTextTable[[#This Row],[text]])</f>
        <v>3359</v>
      </c>
      <c r="N112" s="21">
        <f>LEN(TRIM(CLEAN(SUBSTITUTE(ProjTextTable[[#This Row],[text]],CHAR(10)," "))))+1 - LEN(SUBSTITUTE(CLEAN(SUBSTITUTE(ProjTextTable[[#This Row],[text]],CHAR(10)," "))," ",""))</f>
        <v>481</v>
      </c>
      <c r="O112" t="s">
        <v>176</v>
      </c>
      <c r="P112" t="s">
        <v>1142</v>
      </c>
    </row>
    <row r="113" spans="1:16">
      <c r="A113">
        <f t="shared" si="1"/>
        <v>17</v>
      </c>
      <c r="B113" t="s">
        <v>1140</v>
      </c>
      <c r="C113" t="s">
        <v>1141</v>
      </c>
      <c r="D113" t="s">
        <v>951</v>
      </c>
      <c r="E113" t="s">
        <v>948</v>
      </c>
      <c r="F113" t="s">
        <v>1140</v>
      </c>
      <c r="G113" t="s">
        <v>952</v>
      </c>
      <c r="H113" t="s">
        <v>13</v>
      </c>
      <c r="I113" t="s">
        <v>13</v>
      </c>
      <c r="J113" t="s">
        <v>396</v>
      </c>
      <c r="K113" s="30">
        <v>42957.720833333333</v>
      </c>
      <c r="L113" s="8">
        <v>44783.720833333333</v>
      </c>
      <c r="M113" s="21">
        <f>LEN(ProjTextTable[[#This Row],[text]])</f>
        <v>8596</v>
      </c>
      <c r="N113" s="21">
        <f>LEN(TRIM(CLEAN(SUBSTITUTE(ProjTextTable[[#This Row],[text]],CHAR(10)," "))))+1 - LEN(SUBSTITUTE(CLEAN(SUBSTITUTE(ProjTextTable[[#This Row],[text]],CHAR(10)," "))," ",""))</f>
        <v>1256</v>
      </c>
      <c r="O113" t="s">
        <v>13</v>
      </c>
      <c r="P113" t="s">
        <v>1143</v>
      </c>
    </row>
    <row r="114" spans="1:16">
      <c r="A114">
        <f t="shared" si="1"/>
        <v>17</v>
      </c>
      <c r="B114" t="s">
        <v>1140</v>
      </c>
      <c r="C114" t="s">
        <v>1141</v>
      </c>
      <c r="D114" t="s">
        <v>194</v>
      </c>
      <c r="E114" t="s">
        <v>543</v>
      </c>
      <c r="F114" t="s">
        <v>1035</v>
      </c>
      <c r="G114" t="s">
        <v>1036</v>
      </c>
      <c r="H114" t="s">
        <v>1037</v>
      </c>
      <c r="I114" t="s">
        <v>95</v>
      </c>
      <c r="J114" t="s">
        <v>176</v>
      </c>
      <c r="K114" s="30">
        <v>42878</v>
      </c>
      <c r="L114" s="8">
        <v>42872.394652777781</v>
      </c>
      <c r="M114" s="21">
        <f>LEN(ProjTextTable[[#This Row],[text]])</f>
        <v>3759</v>
      </c>
      <c r="N114" s="21">
        <f>LEN(TRIM(CLEAN(SUBSTITUTE(ProjTextTable[[#This Row],[text]],CHAR(10)," "))))+1 - LEN(SUBSTITUTE(CLEAN(SUBSTITUTE(ProjTextTable[[#This Row],[text]],CHAR(10)," "))," ",""))</f>
        <v>576</v>
      </c>
      <c r="O114" t="s">
        <v>202</v>
      </c>
      <c r="P114" t="s">
        <v>1144</v>
      </c>
    </row>
    <row r="115" spans="1:16">
      <c r="A115">
        <f t="shared" si="1"/>
        <v>17</v>
      </c>
      <c r="B115" t="s">
        <v>1140</v>
      </c>
      <c r="C115" t="s">
        <v>1141</v>
      </c>
      <c r="D115" t="s">
        <v>194</v>
      </c>
      <c r="E115" t="s">
        <v>543</v>
      </c>
      <c r="F115" t="s">
        <v>963</v>
      </c>
      <c r="G115" t="s">
        <v>964</v>
      </c>
      <c r="H115" t="s">
        <v>965</v>
      </c>
      <c r="I115" t="s">
        <v>95</v>
      </c>
      <c r="J115" t="s">
        <v>176</v>
      </c>
      <c r="K115" s="30">
        <v>42878</v>
      </c>
      <c r="L115" s="8">
        <v>42878.361134259256</v>
      </c>
      <c r="M115" s="21">
        <f>LEN(ProjTextTable[[#This Row],[text]])</f>
        <v>4443</v>
      </c>
      <c r="N115" s="21">
        <f>LEN(TRIM(CLEAN(SUBSTITUTE(ProjTextTable[[#This Row],[text]],CHAR(10)," "))))+1 - LEN(SUBSTITUTE(CLEAN(SUBSTITUTE(ProjTextTable[[#This Row],[text]],CHAR(10)," "))," ",""))</f>
        <v>620</v>
      </c>
      <c r="O115" t="s">
        <v>195</v>
      </c>
      <c r="P115" t="s">
        <v>1145</v>
      </c>
    </row>
    <row r="116" spans="1:16">
      <c r="A116">
        <f t="shared" si="1"/>
        <v>17</v>
      </c>
      <c r="B116" t="s">
        <v>1140</v>
      </c>
      <c r="C116" t="s">
        <v>1141</v>
      </c>
      <c r="D116" t="s">
        <v>194</v>
      </c>
      <c r="E116" t="s">
        <v>543</v>
      </c>
      <c r="F116" t="s">
        <v>1047</v>
      </c>
      <c r="G116" t="s">
        <v>1048</v>
      </c>
      <c r="H116" t="s">
        <v>1049</v>
      </c>
      <c r="I116" t="s">
        <v>95</v>
      </c>
      <c r="J116" t="s">
        <v>176</v>
      </c>
      <c r="K116" s="30">
        <v>42878</v>
      </c>
      <c r="L116" s="8">
        <v>42884.16542824074</v>
      </c>
      <c r="M116" s="21">
        <f>LEN(ProjTextTable[[#This Row],[text]])</f>
        <v>2374</v>
      </c>
      <c r="N116" s="21">
        <f>LEN(TRIM(CLEAN(SUBSTITUTE(ProjTextTable[[#This Row],[text]],CHAR(10)," "))))+1 - LEN(SUBSTITUTE(CLEAN(SUBSTITUTE(ProjTextTable[[#This Row],[text]],CHAR(10)," "))," ",""))</f>
        <v>346</v>
      </c>
      <c r="O116" t="s">
        <v>251</v>
      </c>
      <c r="P116" t="s">
        <v>1146</v>
      </c>
    </row>
    <row r="117" spans="1:16">
      <c r="A117">
        <f t="shared" si="1"/>
        <v>17</v>
      </c>
      <c r="B117" t="s">
        <v>1140</v>
      </c>
      <c r="C117" t="s">
        <v>1141</v>
      </c>
      <c r="D117" t="s">
        <v>196</v>
      </c>
      <c r="E117" t="s">
        <v>948</v>
      </c>
      <c r="F117" t="s">
        <v>13</v>
      </c>
      <c r="G117" t="s">
        <v>13</v>
      </c>
      <c r="H117" t="s">
        <v>13</v>
      </c>
      <c r="K117" s="30"/>
      <c r="L117" s="8">
        <v>42810.042303240742</v>
      </c>
      <c r="M117" s="21">
        <f>LEN(ProjTextTable[[#This Row],[text]])</f>
        <v>3819</v>
      </c>
      <c r="N117" s="21">
        <f>LEN(TRIM(CLEAN(SUBSTITUTE(ProjTextTable[[#This Row],[text]],CHAR(10)," "))))+1 - LEN(SUBSTITUTE(CLEAN(SUBSTITUTE(ProjTextTable[[#This Row],[text]],CHAR(10)," "))," ",""))</f>
        <v>538</v>
      </c>
      <c r="O117" t="s">
        <v>13</v>
      </c>
      <c r="P117" t="s">
        <v>1147</v>
      </c>
    </row>
    <row r="118" spans="1:16">
      <c r="A118">
        <f t="shared" si="1"/>
        <v>18</v>
      </c>
      <c r="B118" t="s">
        <v>1148</v>
      </c>
      <c r="C118" t="s">
        <v>980</v>
      </c>
      <c r="D118" t="s">
        <v>205</v>
      </c>
      <c r="E118" t="s">
        <v>942</v>
      </c>
      <c r="F118" t="s">
        <v>943</v>
      </c>
      <c r="G118" t="s">
        <v>944</v>
      </c>
      <c r="H118" t="s">
        <v>1004</v>
      </c>
      <c r="I118" t="s">
        <v>197</v>
      </c>
      <c r="J118" t="s">
        <v>200</v>
      </c>
      <c r="K118" s="30">
        <v>42877</v>
      </c>
      <c r="L118" s="8">
        <v>42929.687685185185</v>
      </c>
      <c r="M118" s="21">
        <f>LEN(ProjTextTable[[#This Row],[text]])</f>
        <v>3433</v>
      </c>
      <c r="N118" s="21">
        <f>LEN(TRIM(CLEAN(SUBSTITUTE(ProjTextTable[[#This Row],[text]],CHAR(10)," "))))+1 - LEN(SUBSTITUTE(CLEAN(SUBSTITUTE(ProjTextTable[[#This Row],[text]],CHAR(10)," "))," ",""))</f>
        <v>495</v>
      </c>
      <c r="O118" t="s">
        <v>176</v>
      </c>
      <c r="P118" t="s">
        <v>1149</v>
      </c>
    </row>
    <row r="119" spans="1:16">
      <c r="A119">
        <f t="shared" si="1"/>
        <v>18</v>
      </c>
      <c r="B119" t="s">
        <v>1148</v>
      </c>
      <c r="C119" t="s">
        <v>980</v>
      </c>
      <c r="D119" t="s">
        <v>397</v>
      </c>
      <c r="E119" t="s">
        <v>543</v>
      </c>
      <c r="F119" t="s">
        <v>13</v>
      </c>
      <c r="G119" t="s">
        <v>987</v>
      </c>
      <c r="H119" t="s">
        <v>13</v>
      </c>
      <c r="I119" t="s">
        <v>13</v>
      </c>
      <c r="K119" s="30"/>
      <c r="L119" s="8">
        <v>42923.687951388885</v>
      </c>
      <c r="M119" s="21">
        <f>LEN(ProjTextTable[[#This Row],[text]])</f>
        <v>3285</v>
      </c>
      <c r="N119" s="21">
        <f>LEN(TRIM(CLEAN(SUBSTITUTE(ProjTextTable[[#This Row],[text]],CHAR(10)," "))))+1 - LEN(SUBSTITUTE(CLEAN(SUBSTITUTE(ProjTextTable[[#This Row],[text]],CHAR(10)," "))," ",""))</f>
        <v>456</v>
      </c>
      <c r="O119" t="s">
        <v>13</v>
      </c>
      <c r="P119" t="s">
        <v>1150</v>
      </c>
    </row>
    <row r="120" spans="1:16">
      <c r="A120">
        <f t="shared" si="1"/>
        <v>18</v>
      </c>
      <c r="B120" t="s">
        <v>1148</v>
      </c>
      <c r="C120" t="s">
        <v>980</v>
      </c>
      <c r="D120" t="s">
        <v>951</v>
      </c>
      <c r="E120" t="s">
        <v>543</v>
      </c>
      <c r="F120" t="s">
        <v>1148</v>
      </c>
      <c r="G120" t="s">
        <v>987</v>
      </c>
      <c r="H120" t="s">
        <v>13</v>
      </c>
      <c r="I120" t="s">
        <v>13</v>
      </c>
      <c r="J120" t="s">
        <v>953</v>
      </c>
      <c r="K120" s="30">
        <v>42929.676388888889</v>
      </c>
      <c r="L120" s="8">
        <v>44755.676388888889</v>
      </c>
      <c r="M120" s="21">
        <f>LEN(ProjTextTable[[#This Row],[text]])</f>
        <v>5598</v>
      </c>
      <c r="N120" s="21">
        <f>LEN(TRIM(CLEAN(SUBSTITUTE(ProjTextTable[[#This Row],[text]],CHAR(10)," "))))+1 - LEN(SUBSTITUTE(CLEAN(SUBSTITUTE(ProjTextTable[[#This Row],[text]],CHAR(10)," "))," ",""))</f>
        <v>815</v>
      </c>
      <c r="O120" t="s">
        <v>13</v>
      </c>
      <c r="P120" t="s">
        <v>1151</v>
      </c>
    </row>
    <row r="121" spans="1:16">
      <c r="A121">
        <f t="shared" si="1"/>
        <v>18</v>
      </c>
      <c r="B121" t="s">
        <v>1148</v>
      </c>
      <c r="C121" t="s">
        <v>980</v>
      </c>
      <c r="D121" t="s">
        <v>2</v>
      </c>
      <c r="E121" t="s">
        <v>543</v>
      </c>
      <c r="F121" t="s">
        <v>13</v>
      </c>
      <c r="G121" t="s">
        <v>925</v>
      </c>
      <c r="H121" t="s">
        <v>13</v>
      </c>
      <c r="I121" t="s">
        <v>13</v>
      </c>
      <c r="K121" s="30"/>
      <c r="L121" s="8">
        <v>42930.434641203705</v>
      </c>
      <c r="M121" s="21">
        <f>LEN(ProjTextTable[[#This Row],[text]])</f>
        <v>7149</v>
      </c>
      <c r="N121" s="21">
        <f>LEN(TRIM(CLEAN(SUBSTITUTE(ProjTextTable[[#This Row],[text]],CHAR(10)," "))))+1 - LEN(SUBSTITUTE(CLEAN(SUBSTITUTE(ProjTextTable[[#This Row],[text]],CHAR(10)," "))," ",""))</f>
        <v>1031</v>
      </c>
      <c r="O121" t="s">
        <v>13</v>
      </c>
      <c r="P121" t="s">
        <v>1152</v>
      </c>
    </row>
    <row r="122" spans="1:16">
      <c r="A122">
        <f t="shared" si="1"/>
        <v>18</v>
      </c>
      <c r="B122" t="s">
        <v>1148</v>
      </c>
      <c r="C122" t="s">
        <v>980</v>
      </c>
      <c r="D122" t="s">
        <v>194</v>
      </c>
      <c r="E122" t="s">
        <v>543</v>
      </c>
      <c r="F122" t="s">
        <v>959</v>
      </c>
      <c r="G122" t="s">
        <v>960</v>
      </c>
      <c r="H122" t="s">
        <v>961</v>
      </c>
      <c r="I122" t="s">
        <v>95</v>
      </c>
      <c r="J122" t="s">
        <v>176</v>
      </c>
      <c r="K122" s="30">
        <v>42878</v>
      </c>
      <c r="L122" s="8">
        <v>42874.795254629629</v>
      </c>
      <c r="M122" s="21">
        <f>LEN(ProjTextTable[[#This Row],[text]])</f>
        <v>2199</v>
      </c>
      <c r="N122" s="21">
        <f>LEN(TRIM(CLEAN(SUBSTITUTE(ProjTextTable[[#This Row],[text]],CHAR(10)," "))))+1 - LEN(SUBSTITUTE(CLEAN(SUBSTITUTE(ProjTextTable[[#This Row],[text]],CHAR(10)," "))," ",""))</f>
        <v>328</v>
      </c>
      <c r="O122" t="s">
        <v>199</v>
      </c>
      <c r="P122" t="s">
        <v>1153</v>
      </c>
    </row>
    <row r="123" spans="1:16">
      <c r="A123">
        <f t="shared" si="1"/>
        <v>18</v>
      </c>
      <c r="B123" t="s">
        <v>1148</v>
      </c>
      <c r="C123" t="s">
        <v>980</v>
      </c>
      <c r="D123" t="s">
        <v>194</v>
      </c>
      <c r="E123" t="s">
        <v>543</v>
      </c>
      <c r="F123" t="s">
        <v>1010</v>
      </c>
      <c r="G123" t="s">
        <v>1011</v>
      </c>
      <c r="H123" t="s">
        <v>1012</v>
      </c>
      <c r="I123" t="s">
        <v>95</v>
      </c>
      <c r="J123" t="s">
        <v>176</v>
      </c>
      <c r="K123" s="30">
        <v>42878</v>
      </c>
      <c r="L123" s="8">
        <v>42876.008842592593</v>
      </c>
      <c r="M123" s="21">
        <f>LEN(ProjTextTable[[#This Row],[text]])</f>
        <v>1194</v>
      </c>
      <c r="N123" s="21">
        <f>LEN(TRIM(CLEAN(SUBSTITUTE(ProjTextTable[[#This Row],[text]],CHAR(10)," "))))+1 - LEN(SUBSTITUTE(CLEAN(SUBSTITUTE(ProjTextTable[[#This Row],[text]],CHAR(10)," "))," ",""))</f>
        <v>169</v>
      </c>
      <c r="O123" t="s">
        <v>199</v>
      </c>
      <c r="P123" t="s">
        <v>1154</v>
      </c>
    </row>
    <row r="124" spans="1:16">
      <c r="A124">
        <f t="shared" si="1"/>
        <v>18</v>
      </c>
      <c r="B124" t="s">
        <v>1148</v>
      </c>
      <c r="C124" t="s">
        <v>980</v>
      </c>
      <c r="D124" t="s">
        <v>194</v>
      </c>
      <c r="E124" t="s">
        <v>543</v>
      </c>
      <c r="F124" t="s">
        <v>1155</v>
      </c>
      <c r="G124" t="s">
        <v>1156</v>
      </c>
      <c r="H124" t="s">
        <v>1157</v>
      </c>
      <c r="I124" t="s">
        <v>95</v>
      </c>
      <c r="J124" t="s">
        <v>176</v>
      </c>
      <c r="K124" s="30">
        <v>42878</v>
      </c>
      <c r="L124" s="8">
        <v>42877.462002314816</v>
      </c>
      <c r="M124" s="21">
        <f>LEN(ProjTextTable[[#This Row],[text]])</f>
        <v>2367</v>
      </c>
      <c r="N124" s="21">
        <f>LEN(TRIM(CLEAN(SUBSTITUTE(ProjTextTable[[#This Row],[text]],CHAR(10)," "))))+1 - LEN(SUBSTITUTE(CLEAN(SUBSTITUTE(ProjTextTable[[#This Row],[text]],CHAR(10)," "))," ",""))</f>
        <v>348</v>
      </c>
      <c r="O124" t="s">
        <v>198</v>
      </c>
      <c r="P124" t="s">
        <v>1158</v>
      </c>
    </row>
    <row r="125" spans="1:16">
      <c r="A125">
        <f t="shared" si="1"/>
        <v>19</v>
      </c>
      <c r="B125" t="s">
        <v>1159</v>
      </c>
      <c r="C125" t="s">
        <v>1160</v>
      </c>
      <c r="D125" t="s">
        <v>205</v>
      </c>
      <c r="E125" t="s">
        <v>543</v>
      </c>
      <c r="F125" t="s">
        <v>919</v>
      </c>
      <c r="G125" t="s">
        <v>920</v>
      </c>
      <c r="H125" t="s">
        <v>921</v>
      </c>
      <c r="I125" t="s">
        <v>193</v>
      </c>
      <c r="J125" t="s">
        <v>922</v>
      </c>
      <c r="K125" s="30">
        <v>42871</v>
      </c>
      <c r="L125" s="8">
        <v>42916.815636574072</v>
      </c>
      <c r="M125" s="21">
        <f>LEN(ProjTextTable[[#This Row],[text]])</f>
        <v>3927</v>
      </c>
      <c r="N125" s="21">
        <f>LEN(TRIM(CLEAN(SUBSTITUTE(ProjTextTable[[#This Row],[text]],CHAR(10)," "))))+1 - LEN(SUBSTITUTE(CLEAN(SUBSTITUTE(ProjTextTable[[#This Row],[text]],CHAR(10)," "))," ",""))</f>
        <v>581</v>
      </c>
      <c r="O125" t="s">
        <v>923</v>
      </c>
      <c r="P125" t="s">
        <v>1161</v>
      </c>
    </row>
    <row r="126" spans="1:16">
      <c r="A126">
        <f t="shared" si="1"/>
        <v>19</v>
      </c>
      <c r="B126" t="s">
        <v>1159</v>
      </c>
      <c r="C126" t="s">
        <v>1160</v>
      </c>
      <c r="D126" t="s">
        <v>2</v>
      </c>
      <c r="E126" t="s">
        <v>543</v>
      </c>
      <c r="F126" t="s">
        <v>13</v>
      </c>
      <c r="G126" t="s">
        <v>925</v>
      </c>
      <c r="H126" t="s">
        <v>13</v>
      </c>
      <c r="I126" t="s">
        <v>13</v>
      </c>
      <c r="K126" s="30"/>
      <c r="L126" s="8">
        <v>42951.496446759258</v>
      </c>
      <c r="M126" s="21">
        <f>LEN(ProjTextTable[[#This Row],[text]])</f>
        <v>4592</v>
      </c>
      <c r="N126" s="21">
        <f>LEN(TRIM(CLEAN(SUBSTITUTE(ProjTextTable[[#This Row],[text]],CHAR(10)," "))))+1 - LEN(SUBSTITUTE(CLEAN(SUBSTITUTE(ProjTextTable[[#This Row],[text]],CHAR(10)," "))," ",""))</f>
        <v>679</v>
      </c>
      <c r="O126" t="s">
        <v>13</v>
      </c>
      <c r="P126" t="s">
        <v>926</v>
      </c>
    </row>
    <row r="127" spans="1:16">
      <c r="A127">
        <f t="shared" si="1"/>
        <v>19</v>
      </c>
      <c r="B127" t="s">
        <v>1159</v>
      </c>
      <c r="C127" t="s">
        <v>1160</v>
      </c>
      <c r="D127" t="s">
        <v>194</v>
      </c>
      <c r="E127" t="s">
        <v>543</v>
      </c>
      <c r="F127" t="s">
        <v>1100</v>
      </c>
      <c r="G127" t="s">
        <v>1101</v>
      </c>
      <c r="H127" t="s">
        <v>1102</v>
      </c>
      <c r="I127" t="s">
        <v>95</v>
      </c>
      <c r="J127" t="s">
        <v>176</v>
      </c>
      <c r="K127" s="30">
        <v>42872</v>
      </c>
      <c r="L127" s="8">
        <v>42871.622314814813</v>
      </c>
      <c r="M127" s="21">
        <f>LEN(ProjTextTable[[#This Row],[text]])</f>
        <v>5055</v>
      </c>
      <c r="N127" s="21">
        <f>LEN(TRIM(CLEAN(SUBSTITUTE(ProjTextTable[[#This Row],[text]],CHAR(10)," "))))+1 - LEN(SUBSTITUTE(CLEAN(SUBSTITUTE(ProjTextTable[[#This Row],[text]],CHAR(10)," "))," ",""))</f>
        <v>825</v>
      </c>
      <c r="O127" t="s">
        <v>203</v>
      </c>
      <c r="P127" t="s">
        <v>1162</v>
      </c>
    </row>
    <row r="128" spans="1:16">
      <c r="A128">
        <f t="shared" si="1"/>
        <v>19</v>
      </c>
      <c r="B128" t="s">
        <v>1159</v>
      </c>
      <c r="C128" t="s">
        <v>1160</v>
      </c>
      <c r="D128" t="s">
        <v>194</v>
      </c>
      <c r="E128" t="s">
        <v>543</v>
      </c>
      <c r="F128" t="s">
        <v>979</v>
      </c>
      <c r="G128" t="s">
        <v>980</v>
      </c>
      <c r="H128" t="s">
        <v>981</v>
      </c>
      <c r="I128" t="s">
        <v>95</v>
      </c>
      <c r="J128" t="s">
        <v>176</v>
      </c>
      <c r="K128" s="30">
        <v>42872</v>
      </c>
      <c r="L128" s="8">
        <v>42859.702696759261</v>
      </c>
      <c r="M128" s="21">
        <f>LEN(ProjTextTable[[#This Row],[text]])</f>
        <v>5318</v>
      </c>
      <c r="N128" s="21">
        <f>LEN(TRIM(CLEAN(SUBSTITUTE(ProjTextTable[[#This Row],[text]],CHAR(10)," "))))+1 - LEN(SUBSTITUTE(CLEAN(SUBSTITUTE(ProjTextTable[[#This Row],[text]],CHAR(10)," "))," ",""))</f>
        <v>835</v>
      </c>
      <c r="O128" t="s">
        <v>202</v>
      </c>
      <c r="P128" t="s">
        <v>1163</v>
      </c>
    </row>
    <row r="129" spans="1:16">
      <c r="A129">
        <f t="shared" si="1"/>
        <v>19</v>
      </c>
      <c r="B129" t="s">
        <v>1159</v>
      </c>
      <c r="C129" t="s">
        <v>1160</v>
      </c>
      <c r="D129" t="s">
        <v>194</v>
      </c>
      <c r="E129" t="s">
        <v>543</v>
      </c>
      <c r="F129" t="s">
        <v>1105</v>
      </c>
      <c r="G129" t="s">
        <v>1106</v>
      </c>
      <c r="H129" t="s">
        <v>1107</v>
      </c>
      <c r="I129" t="s">
        <v>95</v>
      </c>
      <c r="J129" t="s">
        <v>176</v>
      </c>
      <c r="K129" s="30">
        <v>42872</v>
      </c>
      <c r="L129" s="8">
        <v>42872.477951388886</v>
      </c>
      <c r="M129" s="21">
        <f>LEN(ProjTextTable[[#This Row],[text]])</f>
        <v>4049</v>
      </c>
      <c r="N129" s="21">
        <f>LEN(TRIM(CLEAN(SUBSTITUTE(ProjTextTable[[#This Row],[text]],CHAR(10)," "))))+1 - LEN(SUBSTITUTE(CLEAN(SUBSTITUTE(ProjTextTable[[#This Row],[text]],CHAR(10)," "))," ",""))</f>
        <v>633</v>
      </c>
      <c r="O129" t="s">
        <v>202</v>
      </c>
      <c r="P129" t="s">
        <v>1164</v>
      </c>
    </row>
    <row r="130" spans="1:16">
      <c r="A130">
        <f t="shared" ref="A130:A193" si="2">A129+(B130&lt;&gt;B129)</f>
        <v>20</v>
      </c>
      <c r="B130" t="s">
        <v>1165</v>
      </c>
      <c r="C130" t="s">
        <v>1166</v>
      </c>
      <c r="D130" t="s">
        <v>205</v>
      </c>
      <c r="E130" t="s">
        <v>543</v>
      </c>
      <c r="F130" t="s">
        <v>919</v>
      </c>
      <c r="G130" t="s">
        <v>920</v>
      </c>
      <c r="H130" t="s">
        <v>1004</v>
      </c>
      <c r="I130" t="s">
        <v>197</v>
      </c>
      <c r="J130" t="s">
        <v>193</v>
      </c>
      <c r="K130" s="30">
        <v>42871</v>
      </c>
      <c r="L130" s="8">
        <v>42925.807326388887</v>
      </c>
      <c r="M130" s="21">
        <f>LEN(ProjTextTable[[#This Row],[text]])</f>
        <v>4782</v>
      </c>
      <c r="N130" s="21">
        <f>LEN(TRIM(CLEAN(SUBSTITUTE(ProjTextTable[[#This Row],[text]],CHAR(10)," "))))+1 - LEN(SUBSTITUTE(CLEAN(SUBSTITUTE(ProjTextTable[[#This Row],[text]],CHAR(10)," "))," ",""))</f>
        <v>702</v>
      </c>
      <c r="O130" t="s">
        <v>176</v>
      </c>
      <c r="P130" t="s">
        <v>1167</v>
      </c>
    </row>
    <row r="131" spans="1:16">
      <c r="A131">
        <f t="shared" si="2"/>
        <v>20</v>
      </c>
      <c r="B131" t="s">
        <v>1165</v>
      </c>
      <c r="C131" t="s">
        <v>1166</v>
      </c>
      <c r="D131" t="s">
        <v>397</v>
      </c>
      <c r="E131" t="s">
        <v>942</v>
      </c>
      <c r="F131" t="s">
        <v>13</v>
      </c>
      <c r="G131" t="s">
        <v>1168</v>
      </c>
      <c r="H131" t="s">
        <v>13</v>
      </c>
      <c r="I131" t="s">
        <v>13</v>
      </c>
      <c r="K131" s="30"/>
      <c r="L131" s="8">
        <v>42928.713240740741</v>
      </c>
      <c r="M131" s="21">
        <f>LEN(ProjTextTable[[#This Row],[text]])</f>
        <v>2881</v>
      </c>
      <c r="N131" s="21">
        <f>LEN(TRIM(CLEAN(SUBSTITUTE(ProjTextTable[[#This Row],[text]],CHAR(10)," "))))+1 - LEN(SUBSTITUTE(CLEAN(SUBSTITUTE(ProjTextTable[[#This Row],[text]],CHAR(10)," "))," ",""))</f>
        <v>381</v>
      </c>
      <c r="O131" t="s">
        <v>13</v>
      </c>
      <c r="P131" t="s">
        <v>1169</v>
      </c>
    </row>
    <row r="132" spans="1:16">
      <c r="A132">
        <f t="shared" si="2"/>
        <v>20</v>
      </c>
      <c r="B132" t="s">
        <v>1165</v>
      </c>
      <c r="C132" t="s">
        <v>1166</v>
      </c>
      <c r="D132" t="s">
        <v>951</v>
      </c>
      <c r="E132" t="s">
        <v>942</v>
      </c>
      <c r="F132" t="s">
        <v>1165</v>
      </c>
      <c r="G132" t="s">
        <v>969</v>
      </c>
      <c r="H132" t="s">
        <v>13</v>
      </c>
      <c r="I132" t="s">
        <v>13</v>
      </c>
      <c r="J132" t="s">
        <v>953</v>
      </c>
      <c r="K132" s="30">
        <v>42926.736805555556</v>
      </c>
      <c r="L132" s="8">
        <v>44752.736805555556</v>
      </c>
      <c r="M132" s="21">
        <f>LEN(ProjTextTable[[#This Row],[text]])</f>
        <v>7394</v>
      </c>
      <c r="N132" s="21">
        <f>LEN(TRIM(CLEAN(SUBSTITUTE(ProjTextTable[[#This Row],[text]],CHAR(10)," "))))+1 - LEN(SUBSTITUTE(CLEAN(SUBSTITUTE(ProjTextTable[[#This Row],[text]],CHAR(10)," "))," ",""))</f>
        <v>1054</v>
      </c>
      <c r="O132" t="s">
        <v>13</v>
      </c>
      <c r="P132" t="s">
        <v>1170</v>
      </c>
    </row>
    <row r="133" spans="1:16">
      <c r="A133">
        <f t="shared" si="2"/>
        <v>20</v>
      </c>
      <c r="B133" t="s">
        <v>1165</v>
      </c>
      <c r="C133" t="s">
        <v>1166</v>
      </c>
      <c r="D133" t="s">
        <v>194</v>
      </c>
      <c r="E133" t="s">
        <v>543</v>
      </c>
      <c r="F133" t="s">
        <v>1100</v>
      </c>
      <c r="G133" t="s">
        <v>1101</v>
      </c>
      <c r="H133" t="s">
        <v>1102</v>
      </c>
      <c r="I133" t="s">
        <v>95</v>
      </c>
      <c r="J133" t="s">
        <v>176</v>
      </c>
      <c r="K133" s="30">
        <v>42872</v>
      </c>
      <c r="L133" s="8">
        <v>42868.5468287037</v>
      </c>
      <c r="M133" s="21">
        <f>LEN(ProjTextTable[[#This Row],[text]])</f>
        <v>4488</v>
      </c>
      <c r="N133" s="21">
        <f>LEN(TRIM(CLEAN(SUBSTITUTE(ProjTextTable[[#This Row],[text]],CHAR(10)," "))))+1 - LEN(SUBSTITUTE(CLEAN(SUBSTITUTE(ProjTextTable[[#This Row],[text]],CHAR(10)," "))," ",""))</f>
        <v>721</v>
      </c>
      <c r="O133" t="s">
        <v>199</v>
      </c>
      <c r="P133" t="s">
        <v>1171</v>
      </c>
    </row>
    <row r="134" spans="1:16">
      <c r="A134">
        <f t="shared" si="2"/>
        <v>20</v>
      </c>
      <c r="B134" t="s">
        <v>1165</v>
      </c>
      <c r="C134" t="s">
        <v>1166</v>
      </c>
      <c r="D134" t="s">
        <v>194</v>
      </c>
      <c r="E134" t="s">
        <v>543</v>
      </c>
      <c r="F134" t="s">
        <v>997</v>
      </c>
      <c r="G134" t="s">
        <v>998</v>
      </c>
      <c r="H134" t="s">
        <v>999</v>
      </c>
      <c r="I134" t="s">
        <v>95</v>
      </c>
      <c r="J134" t="s">
        <v>176</v>
      </c>
      <c r="K134" s="30">
        <v>42872</v>
      </c>
      <c r="L134" s="8">
        <v>42871.889548611114</v>
      </c>
      <c r="M134" s="21">
        <f>LEN(ProjTextTable[[#This Row],[text]])</f>
        <v>6689</v>
      </c>
      <c r="N134" s="21">
        <f>LEN(TRIM(CLEAN(SUBSTITUTE(ProjTextTable[[#This Row],[text]],CHAR(10)," "))))+1 - LEN(SUBSTITUTE(CLEAN(SUBSTITUTE(ProjTextTable[[#This Row],[text]],CHAR(10)," "))," ",""))</f>
        <v>997</v>
      </c>
      <c r="O134" t="s">
        <v>202</v>
      </c>
      <c r="P134" t="s">
        <v>1172</v>
      </c>
    </row>
    <row r="135" spans="1:16">
      <c r="A135">
        <f t="shared" si="2"/>
        <v>20</v>
      </c>
      <c r="B135" t="s">
        <v>1165</v>
      </c>
      <c r="C135" t="s">
        <v>1166</v>
      </c>
      <c r="D135" t="s">
        <v>194</v>
      </c>
      <c r="E135" t="s">
        <v>543</v>
      </c>
      <c r="F135" t="s">
        <v>1105</v>
      </c>
      <c r="G135" t="s">
        <v>1106</v>
      </c>
      <c r="H135" t="s">
        <v>1107</v>
      </c>
      <c r="I135" t="s">
        <v>95</v>
      </c>
      <c r="J135" t="s">
        <v>176</v>
      </c>
      <c r="K135" s="30">
        <v>42872</v>
      </c>
      <c r="L135" s="8">
        <v>42869.471817129626</v>
      </c>
      <c r="M135" s="21">
        <f>LEN(ProjTextTable[[#This Row],[text]])</f>
        <v>3741</v>
      </c>
      <c r="N135" s="21">
        <f>LEN(TRIM(CLEAN(SUBSTITUTE(ProjTextTable[[#This Row],[text]],CHAR(10)," "))))+1 - LEN(SUBSTITUTE(CLEAN(SUBSTITUTE(ProjTextTable[[#This Row],[text]],CHAR(10)," "))," ",""))</f>
        <v>583</v>
      </c>
      <c r="O135" t="s">
        <v>198</v>
      </c>
      <c r="P135" t="s">
        <v>1173</v>
      </c>
    </row>
    <row r="136" spans="1:16">
      <c r="A136">
        <f t="shared" si="2"/>
        <v>20</v>
      </c>
      <c r="B136" t="s">
        <v>1165</v>
      </c>
      <c r="C136" t="s">
        <v>1166</v>
      </c>
      <c r="D136" t="s">
        <v>196</v>
      </c>
      <c r="E136" t="s">
        <v>942</v>
      </c>
      <c r="F136" t="s">
        <v>13</v>
      </c>
      <c r="G136" t="s">
        <v>13</v>
      </c>
      <c r="H136" t="s">
        <v>13</v>
      </c>
      <c r="K136" s="30"/>
      <c r="L136" s="8">
        <v>42810.042326388888</v>
      </c>
      <c r="M136" s="21">
        <f>LEN(ProjTextTable[[#This Row],[text]])</f>
        <v>4315</v>
      </c>
      <c r="N136" s="21">
        <f>LEN(TRIM(CLEAN(SUBSTITUTE(ProjTextTable[[#This Row],[text]],CHAR(10)," "))))+1 - LEN(SUBSTITUTE(CLEAN(SUBSTITUTE(ProjTextTable[[#This Row],[text]],CHAR(10)," "))," ",""))</f>
        <v>578</v>
      </c>
      <c r="O136" t="s">
        <v>13</v>
      </c>
      <c r="P136" t="s">
        <v>1174</v>
      </c>
    </row>
    <row r="137" spans="1:16">
      <c r="A137">
        <f t="shared" si="2"/>
        <v>21</v>
      </c>
      <c r="B137" t="s">
        <v>1175</v>
      </c>
      <c r="C137" t="s">
        <v>1176</v>
      </c>
      <c r="D137" t="s">
        <v>205</v>
      </c>
      <c r="E137" t="s">
        <v>543</v>
      </c>
      <c r="F137" t="s">
        <v>919</v>
      </c>
      <c r="G137" t="s">
        <v>920</v>
      </c>
      <c r="H137" t="s">
        <v>974</v>
      </c>
      <c r="I137" t="s">
        <v>200</v>
      </c>
      <c r="J137" t="s">
        <v>546</v>
      </c>
      <c r="K137" s="30">
        <v>42871</v>
      </c>
      <c r="L137" s="8"/>
      <c r="M137" s="21">
        <f>LEN(ProjTextTable[[#This Row],[text]])</f>
        <v>1</v>
      </c>
      <c r="N137" s="21">
        <f>LEN(TRIM(CLEAN(SUBSTITUTE(ProjTextTable[[#This Row],[text]],CHAR(10)," "))))+1 - LEN(SUBSTITUTE(CLEAN(SUBSTITUTE(ProjTextTable[[#This Row],[text]],CHAR(10)," "))," ",""))</f>
        <v>1</v>
      </c>
      <c r="O137" t="s">
        <v>975</v>
      </c>
      <c r="P137" t="s">
        <v>13</v>
      </c>
    </row>
    <row r="138" spans="1:16">
      <c r="A138">
        <f t="shared" si="2"/>
        <v>21</v>
      </c>
      <c r="B138" t="s">
        <v>1175</v>
      </c>
      <c r="C138" t="s">
        <v>1176</v>
      </c>
      <c r="D138" t="s">
        <v>951</v>
      </c>
      <c r="E138" t="s">
        <v>540</v>
      </c>
      <c r="F138" t="s">
        <v>1175</v>
      </c>
      <c r="G138" t="s">
        <v>976</v>
      </c>
      <c r="H138" t="s">
        <v>13</v>
      </c>
      <c r="I138" t="s">
        <v>13</v>
      </c>
      <c r="J138" t="s">
        <v>396</v>
      </c>
      <c r="K138" s="30">
        <v>42955.727083333331</v>
      </c>
      <c r="L138" s="8">
        <v>44781.727083333331</v>
      </c>
      <c r="M138" s="21">
        <f>LEN(ProjTextTable[[#This Row],[text]])</f>
        <v>2107</v>
      </c>
      <c r="N138" s="21">
        <f>LEN(TRIM(CLEAN(SUBSTITUTE(ProjTextTable[[#This Row],[text]],CHAR(10)," "))))+1 - LEN(SUBSTITUTE(CLEAN(SUBSTITUTE(ProjTextTable[[#This Row],[text]],CHAR(10)," "))," ",""))</f>
        <v>332</v>
      </c>
      <c r="O138" t="s">
        <v>13</v>
      </c>
      <c r="P138" t="s">
        <v>977</v>
      </c>
    </row>
    <row r="139" spans="1:16">
      <c r="A139">
        <f t="shared" si="2"/>
        <v>21</v>
      </c>
      <c r="B139" t="s">
        <v>1175</v>
      </c>
      <c r="C139" t="s">
        <v>1176</v>
      </c>
      <c r="D139" t="s">
        <v>2</v>
      </c>
      <c r="E139" t="s">
        <v>540</v>
      </c>
      <c r="F139" t="s">
        <v>13</v>
      </c>
      <c r="G139" t="s">
        <v>925</v>
      </c>
      <c r="H139" t="s">
        <v>13</v>
      </c>
      <c r="I139" t="s">
        <v>13</v>
      </c>
      <c r="K139" s="30"/>
      <c r="L139" s="8">
        <v>42914.640601851854</v>
      </c>
      <c r="M139" s="21">
        <f>LEN(ProjTextTable[[#This Row],[text]])</f>
        <v>2204</v>
      </c>
      <c r="N139" s="21">
        <f>LEN(TRIM(CLEAN(SUBSTITUTE(ProjTextTable[[#This Row],[text]],CHAR(10)," "))))+1 - LEN(SUBSTITUTE(CLEAN(SUBSTITUTE(ProjTextTable[[#This Row],[text]],CHAR(10)," "))," ",""))</f>
        <v>325</v>
      </c>
      <c r="O139" t="s">
        <v>13</v>
      </c>
      <c r="P139" t="s">
        <v>1177</v>
      </c>
    </row>
    <row r="140" spans="1:16">
      <c r="A140">
        <f t="shared" si="2"/>
        <v>21</v>
      </c>
      <c r="B140" t="s">
        <v>1175</v>
      </c>
      <c r="C140" t="s">
        <v>1176</v>
      </c>
      <c r="D140" t="s">
        <v>194</v>
      </c>
      <c r="E140" t="s">
        <v>543</v>
      </c>
      <c r="F140" t="s">
        <v>1089</v>
      </c>
      <c r="G140" t="s">
        <v>1090</v>
      </c>
      <c r="H140" t="s">
        <v>1091</v>
      </c>
      <c r="I140" t="s">
        <v>95</v>
      </c>
      <c r="J140" t="s">
        <v>176</v>
      </c>
      <c r="K140" s="30">
        <v>42872</v>
      </c>
      <c r="L140" s="8">
        <v>42870.326747685183</v>
      </c>
      <c r="M140" s="21">
        <f>LEN(ProjTextTable[[#This Row],[text]])</f>
        <v>3785</v>
      </c>
      <c r="N140" s="21">
        <f>LEN(TRIM(CLEAN(SUBSTITUTE(ProjTextTable[[#This Row],[text]],CHAR(10)," "))))+1 - LEN(SUBSTITUTE(CLEAN(SUBSTITUTE(ProjTextTable[[#This Row],[text]],CHAR(10)," "))," ",""))</f>
        <v>563</v>
      </c>
      <c r="O140" t="s">
        <v>195</v>
      </c>
      <c r="P140" t="s">
        <v>1178</v>
      </c>
    </row>
    <row r="141" spans="1:16">
      <c r="A141">
        <f t="shared" si="2"/>
        <v>21</v>
      </c>
      <c r="B141" t="s">
        <v>1175</v>
      </c>
      <c r="C141" t="s">
        <v>1176</v>
      </c>
      <c r="D141" t="s">
        <v>194</v>
      </c>
      <c r="E141" t="s">
        <v>543</v>
      </c>
      <c r="F141" t="s">
        <v>993</v>
      </c>
      <c r="G141" t="s">
        <v>994</v>
      </c>
      <c r="H141" t="s">
        <v>995</v>
      </c>
      <c r="I141" t="s">
        <v>95</v>
      </c>
      <c r="J141" t="s">
        <v>176</v>
      </c>
      <c r="K141" s="30">
        <v>42872</v>
      </c>
      <c r="L141" s="8">
        <v>42871.529537037037</v>
      </c>
      <c r="M141" s="21">
        <f>LEN(ProjTextTable[[#This Row],[text]])</f>
        <v>3766</v>
      </c>
      <c r="N141" s="21">
        <f>LEN(TRIM(CLEAN(SUBSTITUTE(ProjTextTable[[#This Row],[text]],CHAR(10)," "))))+1 - LEN(SUBSTITUTE(CLEAN(SUBSTITUTE(ProjTextTable[[#This Row],[text]],CHAR(10)," "))," ",""))</f>
        <v>586</v>
      </c>
      <c r="O141" t="s">
        <v>195</v>
      </c>
      <c r="P141" t="s">
        <v>1179</v>
      </c>
    </row>
    <row r="142" spans="1:16">
      <c r="A142">
        <f t="shared" si="2"/>
        <v>21</v>
      </c>
      <c r="B142" t="s">
        <v>1175</v>
      </c>
      <c r="C142" t="s">
        <v>1176</v>
      </c>
      <c r="D142" t="s">
        <v>194</v>
      </c>
      <c r="E142" t="s">
        <v>543</v>
      </c>
      <c r="F142" t="s">
        <v>997</v>
      </c>
      <c r="G142" t="s">
        <v>998</v>
      </c>
      <c r="H142" t="s">
        <v>999</v>
      </c>
      <c r="I142" t="s">
        <v>95</v>
      </c>
      <c r="J142" t="s">
        <v>176</v>
      </c>
      <c r="K142" s="30">
        <v>42872</v>
      </c>
      <c r="L142" s="8">
        <v>42871.856493055559</v>
      </c>
      <c r="M142" s="21">
        <f>LEN(ProjTextTable[[#This Row],[text]])</f>
        <v>5308</v>
      </c>
      <c r="N142" s="21">
        <f>LEN(TRIM(CLEAN(SUBSTITUTE(ProjTextTable[[#This Row],[text]],CHAR(10)," "))))+1 - LEN(SUBSTITUTE(CLEAN(SUBSTITUTE(ProjTextTable[[#This Row],[text]],CHAR(10)," "))," ",""))</f>
        <v>809</v>
      </c>
      <c r="O142" t="s">
        <v>209</v>
      </c>
      <c r="P142" t="s">
        <v>1180</v>
      </c>
    </row>
    <row r="143" spans="1:16">
      <c r="A143">
        <f t="shared" si="2"/>
        <v>21</v>
      </c>
      <c r="B143" t="s">
        <v>1175</v>
      </c>
      <c r="C143" t="s">
        <v>1176</v>
      </c>
      <c r="D143" t="s">
        <v>196</v>
      </c>
      <c r="E143" t="s">
        <v>540</v>
      </c>
      <c r="F143" t="s">
        <v>13</v>
      </c>
      <c r="G143" t="s">
        <v>13</v>
      </c>
      <c r="H143" t="s">
        <v>13</v>
      </c>
      <c r="K143" s="30"/>
      <c r="L143" s="8">
        <v>42810.042326388888</v>
      </c>
      <c r="M143" s="21">
        <f>LEN(ProjTextTable[[#This Row],[text]])</f>
        <v>4087</v>
      </c>
      <c r="N143" s="21">
        <f>LEN(TRIM(CLEAN(SUBSTITUTE(ProjTextTable[[#This Row],[text]],CHAR(10)," "))))+1 - LEN(SUBSTITUTE(CLEAN(SUBSTITUTE(ProjTextTable[[#This Row],[text]],CHAR(10)," "))," ",""))</f>
        <v>592</v>
      </c>
      <c r="O143" t="s">
        <v>13</v>
      </c>
      <c r="P143" t="s">
        <v>1181</v>
      </c>
    </row>
    <row r="144" spans="1:16">
      <c r="A144">
        <f t="shared" si="2"/>
        <v>22</v>
      </c>
      <c r="B144" t="s">
        <v>1182</v>
      </c>
      <c r="C144" t="s">
        <v>1183</v>
      </c>
      <c r="D144" t="s">
        <v>205</v>
      </c>
      <c r="E144" t="s">
        <v>543</v>
      </c>
      <c r="F144" t="s">
        <v>919</v>
      </c>
      <c r="G144" t="s">
        <v>920</v>
      </c>
      <c r="H144" t="s">
        <v>921</v>
      </c>
      <c r="I144" t="s">
        <v>193</v>
      </c>
      <c r="J144" t="s">
        <v>922</v>
      </c>
      <c r="K144" s="30">
        <v>42871</v>
      </c>
      <c r="L144" s="8">
        <v>42916.815636574072</v>
      </c>
      <c r="M144" s="21">
        <f>LEN(ProjTextTable[[#This Row],[text]])</f>
        <v>4060</v>
      </c>
      <c r="N144" s="21">
        <f>LEN(TRIM(CLEAN(SUBSTITUTE(ProjTextTable[[#This Row],[text]],CHAR(10)," "))))+1 - LEN(SUBSTITUTE(CLEAN(SUBSTITUTE(ProjTextTable[[#This Row],[text]],CHAR(10)," "))," ",""))</f>
        <v>605</v>
      </c>
      <c r="O144" t="s">
        <v>923</v>
      </c>
      <c r="P144" t="s">
        <v>1184</v>
      </c>
    </row>
    <row r="145" spans="1:16">
      <c r="A145">
        <f t="shared" si="2"/>
        <v>22</v>
      </c>
      <c r="B145" t="s">
        <v>1182</v>
      </c>
      <c r="C145" t="s">
        <v>1183</v>
      </c>
      <c r="D145" t="s">
        <v>2</v>
      </c>
      <c r="E145" t="s">
        <v>540</v>
      </c>
      <c r="F145" t="s">
        <v>13</v>
      </c>
      <c r="G145" t="s">
        <v>925</v>
      </c>
      <c r="H145" t="s">
        <v>13</v>
      </c>
      <c r="I145" t="s">
        <v>13</v>
      </c>
      <c r="K145" s="30"/>
      <c r="L145" s="8">
        <v>42914.638993055552</v>
      </c>
      <c r="M145" s="21">
        <f>LEN(ProjTextTable[[#This Row],[text]])</f>
        <v>1991</v>
      </c>
      <c r="N145" s="21">
        <f>LEN(TRIM(CLEAN(SUBSTITUTE(ProjTextTable[[#This Row],[text]],CHAR(10)," "))))+1 - LEN(SUBSTITUTE(CLEAN(SUBSTITUTE(ProjTextTable[[#This Row],[text]],CHAR(10)," "))," ",""))</f>
        <v>292</v>
      </c>
      <c r="O145" t="s">
        <v>13</v>
      </c>
      <c r="P145" t="s">
        <v>1185</v>
      </c>
    </row>
    <row r="146" spans="1:16">
      <c r="A146">
        <f t="shared" si="2"/>
        <v>22</v>
      </c>
      <c r="B146" t="s">
        <v>1182</v>
      </c>
      <c r="C146" t="s">
        <v>1183</v>
      </c>
      <c r="D146" t="s">
        <v>194</v>
      </c>
      <c r="E146" t="s">
        <v>543</v>
      </c>
      <c r="F146" t="s">
        <v>979</v>
      </c>
      <c r="G146" t="s">
        <v>980</v>
      </c>
      <c r="H146" t="s">
        <v>981</v>
      </c>
      <c r="I146" t="s">
        <v>95</v>
      </c>
      <c r="J146" t="s">
        <v>176</v>
      </c>
      <c r="K146" s="30">
        <v>42872</v>
      </c>
      <c r="L146" s="8">
        <v>42859.702696759261</v>
      </c>
      <c r="M146" s="21">
        <f>LEN(ProjTextTable[[#This Row],[text]])</f>
        <v>4826</v>
      </c>
      <c r="N146" s="21">
        <f>LEN(TRIM(CLEAN(SUBSTITUTE(ProjTextTable[[#This Row],[text]],CHAR(10)," "))))+1 - LEN(SUBSTITUTE(CLEAN(SUBSTITUTE(ProjTextTable[[#This Row],[text]],CHAR(10)," "))," ",""))</f>
        <v>745</v>
      </c>
      <c r="O146" t="s">
        <v>202</v>
      </c>
      <c r="P146" t="s">
        <v>1186</v>
      </c>
    </row>
    <row r="147" spans="1:16">
      <c r="A147">
        <f t="shared" si="2"/>
        <v>22</v>
      </c>
      <c r="B147" t="s">
        <v>1182</v>
      </c>
      <c r="C147" t="s">
        <v>1183</v>
      </c>
      <c r="D147" t="s">
        <v>194</v>
      </c>
      <c r="E147" t="s">
        <v>543</v>
      </c>
      <c r="F147" t="s">
        <v>989</v>
      </c>
      <c r="G147" t="s">
        <v>990</v>
      </c>
      <c r="H147" t="s">
        <v>991</v>
      </c>
      <c r="I147" t="s">
        <v>95</v>
      </c>
      <c r="J147" t="s">
        <v>176</v>
      </c>
      <c r="K147" s="30">
        <v>42872</v>
      </c>
      <c r="L147" s="8">
        <v>42872.450520833336</v>
      </c>
      <c r="M147" s="21">
        <f>LEN(ProjTextTable[[#This Row],[text]])</f>
        <v>5774</v>
      </c>
      <c r="N147" s="21">
        <f>LEN(TRIM(CLEAN(SUBSTITUTE(ProjTextTable[[#This Row],[text]],CHAR(10)," "))))+1 - LEN(SUBSTITUTE(CLEAN(SUBSTITUTE(ProjTextTable[[#This Row],[text]],CHAR(10)," "))," ",""))</f>
        <v>907</v>
      </c>
      <c r="O147" t="s">
        <v>202</v>
      </c>
      <c r="P147" t="s">
        <v>1187</v>
      </c>
    </row>
    <row r="148" spans="1:16">
      <c r="A148">
        <f t="shared" si="2"/>
        <v>22</v>
      </c>
      <c r="B148" t="s">
        <v>1182</v>
      </c>
      <c r="C148" t="s">
        <v>1183</v>
      </c>
      <c r="D148" t="s">
        <v>194</v>
      </c>
      <c r="E148" t="s">
        <v>543</v>
      </c>
      <c r="F148" t="s">
        <v>931</v>
      </c>
      <c r="G148" t="s">
        <v>932</v>
      </c>
      <c r="H148" t="s">
        <v>933</v>
      </c>
      <c r="I148" t="s">
        <v>95</v>
      </c>
      <c r="J148" t="s">
        <v>176</v>
      </c>
      <c r="K148" s="30">
        <v>42872</v>
      </c>
      <c r="L148" s="8">
        <v>42871.589953703704</v>
      </c>
      <c r="M148" s="21">
        <f>LEN(ProjTextTable[[#This Row],[text]])</f>
        <v>2499</v>
      </c>
      <c r="N148" s="21">
        <f>LEN(TRIM(CLEAN(SUBSTITUTE(ProjTextTable[[#This Row],[text]],CHAR(10)," "))))+1 - LEN(SUBSTITUTE(CLEAN(SUBSTITUTE(ProjTextTable[[#This Row],[text]],CHAR(10)," "))," ",""))</f>
        <v>351</v>
      </c>
      <c r="O148" t="s">
        <v>202</v>
      </c>
      <c r="P148" t="s">
        <v>1188</v>
      </c>
    </row>
    <row r="149" spans="1:16">
      <c r="A149">
        <f t="shared" si="2"/>
        <v>22</v>
      </c>
      <c r="B149" t="s">
        <v>1182</v>
      </c>
      <c r="C149" t="s">
        <v>1183</v>
      </c>
      <c r="D149" t="s">
        <v>196</v>
      </c>
      <c r="E149" t="s">
        <v>540</v>
      </c>
      <c r="F149" t="s">
        <v>13</v>
      </c>
      <c r="G149" t="s">
        <v>13</v>
      </c>
      <c r="H149" t="s">
        <v>13</v>
      </c>
      <c r="K149" s="30"/>
      <c r="L149" s="8">
        <v>42810.042326388888</v>
      </c>
      <c r="M149" s="21">
        <f>LEN(ProjTextTable[[#This Row],[text]])</f>
        <v>4014</v>
      </c>
      <c r="N149" s="21">
        <f>LEN(TRIM(CLEAN(SUBSTITUTE(ProjTextTable[[#This Row],[text]],CHAR(10)," "))))+1 - LEN(SUBSTITUTE(CLEAN(SUBSTITUTE(ProjTextTable[[#This Row],[text]],CHAR(10)," "))," ",""))</f>
        <v>571</v>
      </c>
      <c r="O149" t="s">
        <v>13</v>
      </c>
      <c r="P149" t="s">
        <v>1189</v>
      </c>
    </row>
    <row r="150" spans="1:16">
      <c r="A150">
        <f t="shared" si="2"/>
        <v>23</v>
      </c>
      <c r="B150" t="s">
        <v>1190</v>
      </c>
      <c r="C150" t="s">
        <v>1191</v>
      </c>
      <c r="D150" t="s">
        <v>205</v>
      </c>
      <c r="E150" t="s">
        <v>942</v>
      </c>
      <c r="F150" t="s">
        <v>943</v>
      </c>
      <c r="G150" t="s">
        <v>944</v>
      </c>
      <c r="H150" t="s">
        <v>974</v>
      </c>
      <c r="I150" t="s">
        <v>200</v>
      </c>
      <c r="K150" s="30">
        <v>42877</v>
      </c>
      <c r="L150" s="8"/>
      <c r="M150" s="21">
        <f>LEN(ProjTextTable[[#This Row],[text]])</f>
        <v>1</v>
      </c>
      <c r="N150" s="21">
        <f>LEN(TRIM(CLEAN(SUBSTITUTE(ProjTextTable[[#This Row],[text]],CHAR(10)," "))))+1 - LEN(SUBSTITUTE(CLEAN(SUBSTITUTE(ProjTextTable[[#This Row],[text]],CHAR(10)," "))," ",""))</f>
        <v>1</v>
      </c>
      <c r="O150" t="s">
        <v>975</v>
      </c>
      <c r="P150" t="s">
        <v>13</v>
      </c>
    </row>
    <row r="151" spans="1:16">
      <c r="A151">
        <f t="shared" si="2"/>
        <v>23</v>
      </c>
      <c r="B151" t="s">
        <v>1190</v>
      </c>
      <c r="C151" t="s">
        <v>1191</v>
      </c>
      <c r="D151" t="s">
        <v>951</v>
      </c>
      <c r="E151" t="s">
        <v>948</v>
      </c>
      <c r="F151" t="s">
        <v>1190</v>
      </c>
      <c r="G151" t="s">
        <v>952</v>
      </c>
      <c r="H151" t="s">
        <v>13</v>
      </c>
      <c r="I151" t="s">
        <v>13</v>
      </c>
      <c r="J151" t="s">
        <v>396</v>
      </c>
      <c r="K151" s="30">
        <v>42955.698611111111</v>
      </c>
      <c r="L151" s="8">
        <v>44781.698611111111</v>
      </c>
      <c r="M151" s="21">
        <f>LEN(ProjTextTable[[#This Row],[text]])</f>
        <v>6381</v>
      </c>
      <c r="N151" s="21">
        <f>LEN(TRIM(CLEAN(SUBSTITUTE(ProjTextTable[[#This Row],[text]],CHAR(10)," "))))+1 - LEN(SUBSTITUTE(CLEAN(SUBSTITUTE(ProjTextTable[[#This Row],[text]],CHAR(10)," "))," ",""))</f>
        <v>942</v>
      </c>
      <c r="O151" t="s">
        <v>13</v>
      </c>
      <c r="P151" t="s">
        <v>1192</v>
      </c>
    </row>
    <row r="152" spans="1:16">
      <c r="A152">
        <f t="shared" si="2"/>
        <v>23</v>
      </c>
      <c r="B152" t="s">
        <v>1190</v>
      </c>
      <c r="C152" t="s">
        <v>1191</v>
      </c>
      <c r="D152" t="s">
        <v>194</v>
      </c>
      <c r="E152" t="s">
        <v>543</v>
      </c>
      <c r="F152" t="s">
        <v>955</v>
      </c>
      <c r="G152" t="s">
        <v>956</v>
      </c>
      <c r="H152" t="s">
        <v>957</v>
      </c>
      <c r="I152" t="s">
        <v>95</v>
      </c>
      <c r="J152" t="s">
        <v>176</v>
      </c>
      <c r="K152" s="30">
        <v>42878</v>
      </c>
      <c r="L152" s="8">
        <v>42877.738645833335</v>
      </c>
      <c r="M152" s="21">
        <f>LEN(ProjTextTable[[#This Row],[text]])</f>
        <v>2302</v>
      </c>
      <c r="N152" s="21">
        <f>LEN(TRIM(CLEAN(SUBSTITUTE(ProjTextTable[[#This Row],[text]],CHAR(10)," "))))+1 - LEN(SUBSTITUTE(CLEAN(SUBSTITUTE(ProjTextTable[[#This Row],[text]],CHAR(10)," "))," ",""))</f>
        <v>359</v>
      </c>
      <c r="O152" t="s">
        <v>201</v>
      </c>
      <c r="P152" t="s">
        <v>1193</v>
      </c>
    </row>
    <row r="153" spans="1:16">
      <c r="A153">
        <f t="shared" si="2"/>
        <v>23</v>
      </c>
      <c r="B153" t="s">
        <v>1190</v>
      </c>
      <c r="C153" t="s">
        <v>1191</v>
      </c>
      <c r="D153" t="s">
        <v>194</v>
      </c>
      <c r="E153" t="s">
        <v>543</v>
      </c>
      <c r="F153" t="s">
        <v>1010</v>
      </c>
      <c r="G153" t="s">
        <v>1011</v>
      </c>
      <c r="H153" t="s">
        <v>1012</v>
      </c>
      <c r="I153" t="s">
        <v>95</v>
      </c>
      <c r="J153" t="s">
        <v>176</v>
      </c>
      <c r="K153" s="30">
        <v>42878</v>
      </c>
      <c r="L153" s="8">
        <v>42878.386932870373</v>
      </c>
      <c r="M153" s="21">
        <f>LEN(ProjTextTable[[#This Row],[text]])</f>
        <v>1658</v>
      </c>
      <c r="N153" s="21">
        <f>LEN(TRIM(CLEAN(SUBSTITUTE(ProjTextTable[[#This Row],[text]],CHAR(10)," "))))+1 - LEN(SUBSTITUTE(CLEAN(SUBSTITUTE(ProjTextTable[[#This Row],[text]],CHAR(10)," "))," ",""))</f>
        <v>237</v>
      </c>
      <c r="O153" t="s">
        <v>201</v>
      </c>
      <c r="P153" t="s">
        <v>1194</v>
      </c>
    </row>
    <row r="154" spans="1:16">
      <c r="A154">
        <f t="shared" si="2"/>
        <v>23</v>
      </c>
      <c r="B154" t="s">
        <v>1190</v>
      </c>
      <c r="C154" t="s">
        <v>1191</v>
      </c>
      <c r="D154" t="s">
        <v>194</v>
      </c>
      <c r="E154" t="s">
        <v>543</v>
      </c>
      <c r="F154" t="s">
        <v>1155</v>
      </c>
      <c r="G154" t="s">
        <v>1156</v>
      </c>
      <c r="H154" t="s">
        <v>1157</v>
      </c>
      <c r="I154" t="s">
        <v>95</v>
      </c>
      <c r="J154" t="s">
        <v>176</v>
      </c>
      <c r="K154" s="30">
        <v>42878</v>
      </c>
      <c r="L154" s="8">
        <v>42878.380069444444</v>
      </c>
      <c r="M154" s="21">
        <f>LEN(ProjTextTable[[#This Row],[text]])</f>
        <v>3336</v>
      </c>
      <c r="N154" s="21">
        <f>LEN(TRIM(CLEAN(SUBSTITUTE(ProjTextTable[[#This Row],[text]],CHAR(10)," "))))+1 - LEN(SUBSTITUTE(CLEAN(SUBSTITUTE(ProjTextTable[[#This Row],[text]],CHAR(10)," "))," ",""))</f>
        <v>508</v>
      </c>
      <c r="O154" t="s">
        <v>195</v>
      </c>
      <c r="P154" t="s">
        <v>1195</v>
      </c>
    </row>
    <row r="155" spans="1:16">
      <c r="A155">
        <f t="shared" si="2"/>
        <v>23</v>
      </c>
      <c r="B155" t="s">
        <v>1190</v>
      </c>
      <c r="C155" t="s">
        <v>1191</v>
      </c>
      <c r="D155" t="s">
        <v>196</v>
      </c>
      <c r="E155" t="s">
        <v>948</v>
      </c>
      <c r="F155" t="s">
        <v>13</v>
      </c>
      <c r="G155" t="s">
        <v>13</v>
      </c>
      <c r="H155" t="s">
        <v>13</v>
      </c>
      <c r="K155" s="30"/>
      <c r="L155" s="8">
        <v>42810.042349537034</v>
      </c>
      <c r="M155" s="21">
        <f>LEN(ProjTextTable[[#This Row],[text]])</f>
        <v>2487</v>
      </c>
      <c r="N155" s="21">
        <f>LEN(TRIM(CLEAN(SUBSTITUTE(ProjTextTable[[#This Row],[text]],CHAR(10)," "))))+1 - LEN(SUBSTITUTE(CLEAN(SUBSTITUTE(ProjTextTable[[#This Row],[text]],CHAR(10)," "))," ",""))</f>
        <v>342</v>
      </c>
      <c r="O155" t="s">
        <v>13</v>
      </c>
      <c r="P155" t="s">
        <v>1196</v>
      </c>
    </row>
    <row r="156" spans="1:16">
      <c r="A156">
        <f t="shared" si="2"/>
        <v>24</v>
      </c>
      <c r="B156" t="s">
        <v>1197</v>
      </c>
      <c r="C156" t="s">
        <v>1198</v>
      </c>
      <c r="D156" t="s">
        <v>205</v>
      </c>
      <c r="E156" t="s">
        <v>543</v>
      </c>
      <c r="F156" t="s">
        <v>919</v>
      </c>
      <c r="G156" t="s">
        <v>920</v>
      </c>
      <c r="H156" t="s">
        <v>1004</v>
      </c>
      <c r="I156" t="s">
        <v>197</v>
      </c>
      <c r="J156" t="s">
        <v>193</v>
      </c>
      <c r="K156" s="30">
        <v>42871</v>
      </c>
      <c r="L156" s="8">
        <v>42922.825601851851</v>
      </c>
      <c r="M156" s="21">
        <f>LEN(ProjTextTable[[#This Row],[text]])</f>
        <v>4927</v>
      </c>
      <c r="N156" s="21">
        <f>LEN(TRIM(CLEAN(SUBSTITUTE(ProjTextTable[[#This Row],[text]],CHAR(10)," "))))+1 - LEN(SUBSTITUTE(CLEAN(SUBSTITUTE(ProjTextTable[[#This Row],[text]],CHAR(10)," "))," ",""))</f>
        <v>742</v>
      </c>
      <c r="O156" t="s">
        <v>176</v>
      </c>
      <c r="P156" t="s">
        <v>1199</v>
      </c>
    </row>
    <row r="157" spans="1:16">
      <c r="A157">
        <f t="shared" si="2"/>
        <v>24</v>
      </c>
      <c r="B157" t="s">
        <v>1197</v>
      </c>
      <c r="C157" t="s">
        <v>1198</v>
      </c>
      <c r="D157" t="s">
        <v>397</v>
      </c>
      <c r="E157" t="s">
        <v>540</v>
      </c>
      <c r="F157" t="s">
        <v>13</v>
      </c>
      <c r="G157" t="s">
        <v>976</v>
      </c>
      <c r="H157" t="s">
        <v>13</v>
      </c>
      <c r="I157" t="s">
        <v>13</v>
      </c>
      <c r="K157" s="30"/>
      <c r="L157" s="8">
        <v>42935.637106481481</v>
      </c>
      <c r="M157" s="21">
        <f>LEN(ProjTextTable[[#This Row],[text]])</f>
        <v>3567</v>
      </c>
      <c r="N157" s="21">
        <f>LEN(TRIM(CLEAN(SUBSTITUTE(ProjTextTable[[#This Row],[text]],CHAR(10)," "))))+1 - LEN(SUBSTITUTE(CLEAN(SUBSTITUTE(ProjTextTable[[#This Row],[text]],CHAR(10)," "))," ",""))</f>
        <v>481</v>
      </c>
      <c r="O157" t="s">
        <v>13</v>
      </c>
      <c r="P157" t="s">
        <v>1200</v>
      </c>
    </row>
    <row r="158" spans="1:16">
      <c r="A158">
        <f t="shared" si="2"/>
        <v>24</v>
      </c>
      <c r="B158" t="s">
        <v>1197</v>
      </c>
      <c r="C158" t="s">
        <v>1198</v>
      </c>
      <c r="D158" t="s">
        <v>951</v>
      </c>
      <c r="E158" t="s">
        <v>540</v>
      </c>
      <c r="F158" t="s">
        <v>1197</v>
      </c>
      <c r="G158" t="s">
        <v>976</v>
      </c>
      <c r="H158" t="s">
        <v>13</v>
      </c>
      <c r="I158" t="s">
        <v>13</v>
      </c>
      <c r="J158" t="s">
        <v>953</v>
      </c>
      <c r="K158" s="30">
        <v>42928.938888888886</v>
      </c>
      <c r="L158" s="8">
        <v>44754.938888888886</v>
      </c>
      <c r="M158" s="21">
        <f>LEN(ProjTextTable[[#This Row],[text]])</f>
        <v>6811</v>
      </c>
      <c r="N158" s="21">
        <f>LEN(TRIM(CLEAN(SUBSTITUTE(ProjTextTable[[#This Row],[text]],CHAR(10)," "))))+1 - LEN(SUBSTITUTE(CLEAN(SUBSTITUTE(ProjTextTable[[#This Row],[text]],CHAR(10)," "))," ",""))</f>
        <v>1055</v>
      </c>
      <c r="O158" t="s">
        <v>13</v>
      </c>
      <c r="P158" t="s">
        <v>1201</v>
      </c>
    </row>
    <row r="159" spans="1:16">
      <c r="A159">
        <f t="shared" si="2"/>
        <v>24</v>
      </c>
      <c r="B159" t="s">
        <v>1197</v>
      </c>
      <c r="C159" t="s">
        <v>1198</v>
      </c>
      <c r="D159" t="s">
        <v>2</v>
      </c>
      <c r="E159" t="s">
        <v>540</v>
      </c>
      <c r="F159" t="s">
        <v>13</v>
      </c>
      <c r="G159" t="s">
        <v>925</v>
      </c>
      <c r="H159" t="s">
        <v>13</v>
      </c>
      <c r="I159" t="s">
        <v>13</v>
      </c>
      <c r="K159" s="30"/>
      <c r="L159" s="8">
        <v>42934.612986111111</v>
      </c>
      <c r="M159" s="21">
        <f>LEN(ProjTextTable[[#This Row],[text]])</f>
        <v>7502</v>
      </c>
      <c r="N159" s="21">
        <f>LEN(TRIM(CLEAN(SUBSTITUTE(ProjTextTable[[#This Row],[text]],CHAR(10)," "))))+1 - LEN(SUBSTITUTE(CLEAN(SUBSTITUTE(ProjTextTable[[#This Row],[text]],CHAR(10)," "))," ",""))</f>
        <v>1122</v>
      </c>
      <c r="O159" t="s">
        <v>13</v>
      </c>
      <c r="P159" t="s">
        <v>1202</v>
      </c>
    </row>
    <row r="160" spans="1:16">
      <c r="A160">
        <f t="shared" si="2"/>
        <v>24</v>
      </c>
      <c r="B160" t="s">
        <v>1197</v>
      </c>
      <c r="C160" t="s">
        <v>1198</v>
      </c>
      <c r="D160" t="s">
        <v>194</v>
      </c>
      <c r="E160" t="s">
        <v>543</v>
      </c>
      <c r="F160" t="s">
        <v>1084</v>
      </c>
      <c r="G160" t="s">
        <v>1085</v>
      </c>
      <c r="H160" t="s">
        <v>1086</v>
      </c>
      <c r="I160" t="s">
        <v>95</v>
      </c>
      <c r="J160" t="s">
        <v>176</v>
      </c>
      <c r="K160" s="30">
        <v>42872</v>
      </c>
      <c r="L160" s="8">
        <v>42872.496678240743</v>
      </c>
      <c r="M160" s="21">
        <f>LEN(ProjTextTable[[#This Row],[text]])</f>
        <v>2700</v>
      </c>
      <c r="N160" s="21">
        <f>LEN(TRIM(CLEAN(SUBSTITUTE(ProjTextTable[[#This Row],[text]],CHAR(10)," "))))+1 - LEN(SUBSTITUTE(CLEAN(SUBSTITUTE(ProjTextTable[[#This Row],[text]],CHAR(10)," "))," ",""))</f>
        <v>424</v>
      </c>
      <c r="O160" t="s">
        <v>199</v>
      </c>
      <c r="P160" t="s">
        <v>1203</v>
      </c>
    </row>
    <row r="161" spans="1:16">
      <c r="A161">
        <f t="shared" si="2"/>
        <v>24</v>
      </c>
      <c r="B161" t="s">
        <v>1197</v>
      </c>
      <c r="C161" t="s">
        <v>1198</v>
      </c>
      <c r="D161" t="s">
        <v>194</v>
      </c>
      <c r="E161" t="s">
        <v>543</v>
      </c>
      <c r="F161" t="s">
        <v>1100</v>
      </c>
      <c r="G161" t="s">
        <v>1101</v>
      </c>
      <c r="H161" t="s">
        <v>1102</v>
      </c>
      <c r="I161" t="s">
        <v>95</v>
      </c>
      <c r="J161" t="s">
        <v>176</v>
      </c>
      <c r="K161" s="30">
        <v>42872</v>
      </c>
      <c r="L161" s="8">
        <v>42868.926793981482</v>
      </c>
      <c r="M161" s="21">
        <f>LEN(ProjTextTable[[#This Row],[text]])</f>
        <v>4818</v>
      </c>
      <c r="N161" s="21">
        <f>LEN(TRIM(CLEAN(SUBSTITUTE(ProjTextTable[[#This Row],[text]],CHAR(10)," "))))+1 - LEN(SUBSTITUTE(CLEAN(SUBSTITUTE(ProjTextTable[[#This Row],[text]],CHAR(10)," "))," ",""))</f>
        <v>776</v>
      </c>
      <c r="O161" t="s">
        <v>202</v>
      </c>
      <c r="P161" t="s">
        <v>1204</v>
      </c>
    </row>
    <row r="162" spans="1:16">
      <c r="A162">
        <f t="shared" si="2"/>
        <v>24</v>
      </c>
      <c r="B162" t="s">
        <v>1197</v>
      </c>
      <c r="C162" t="s">
        <v>1198</v>
      </c>
      <c r="D162" t="s">
        <v>194</v>
      </c>
      <c r="E162" t="s">
        <v>543</v>
      </c>
      <c r="F162" t="s">
        <v>979</v>
      </c>
      <c r="G162" t="s">
        <v>980</v>
      </c>
      <c r="H162" t="s">
        <v>981</v>
      </c>
      <c r="I162" t="s">
        <v>95</v>
      </c>
      <c r="J162" t="s">
        <v>176</v>
      </c>
      <c r="K162" s="30">
        <v>42872</v>
      </c>
      <c r="L162" s="8">
        <v>42871.727083333331</v>
      </c>
      <c r="M162" s="21">
        <f>LEN(ProjTextTable[[#This Row],[text]])</f>
        <v>4336</v>
      </c>
      <c r="N162" s="21">
        <f>LEN(TRIM(CLEAN(SUBSTITUTE(ProjTextTable[[#This Row],[text]],CHAR(10)," "))))+1 - LEN(SUBSTITUTE(CLEAN(SUBSTITUTE(ProjTextTable[[#This Row],[text]],CHAR(10)," "))," ",""))</f>
        <v>637</v>
      </c>
      <c r="O162" t="s">
        <v>199</v>
      </c>
      <c r="P162" t="s">
        <v>1205</v>
      </c>
    </row>
    <row r="163" spans="1:16">
      <c r="A163">
        <f t="shared" si="2"/>
        <v>24</v>
      </c>
      <c r="B163" t="s">
        <v>1197</v>
      </c>
      <c r="C163" t="s">
        <v>1198</v>
      </c>
      <c r="D163" t="s">
        <v>196</v>
      </c>
      <c r="E163" t="s">
        <v>540</v>
      </c>
      <c r="F163" t="s">
        <v>13</v>
      </c>
      <c r="G163" t="s">
        <v>13</v>
      </c>
      <c r="H163" t="s">
        <v>13</v>
      </c>
      <c r="K163" s="30"/>
      <c r="L163" s="8">
        <v>42810.042349537034</v>
      </c>
      <c r="M163" s="21">
        <f>LEN(ProjTextTable[[#This Row],[text]])</f>
        <v>4140</v>
      </c>
      <c r="N163" s="21">
        <f>LEN(TRIM(CLEAN(SUBSTITUTE(ProjTextTable[[#This Row],[text]],CHAR(10)," "))))+1 - LEN(SUBSTITUTE(CLEAN(SUBSTITUTE(ProjTextTable[[#This Row],[text]],CHAR(10)," "))," ",""))</f>
        <v>598</v>
      </c>
      <c r="O163" t="s">
        <v>13</v>
      </c>
      <c r="P163" t="s">
        <v>1206</v>
      </c>
    </row>
    <row r="164" spans="1:16">
      <c r="A164">
        <f t="shared" si="2"/>
        <v>25</v>
      </c>
      <c r="B164" t="s">
        <v>1207</v>
      </c>
      <c r="C164" t="s">
        <v>1208</v>
      </c>
      <c r="D164" t="s">
        <v>205</v>
      </c>
      <c r="E164" t="s">
        <v>543</v>
      </c>
      <c r="F164" t="s">
        <v>919</v>
      </c>
      <c r="G164" t="s">
        <v>920</v>
      </c>
      <c r="H164" t="s">
        <v>921</v>
      </c>
      <c r="I164" t="s">
        <v>193</v>
      </c>
      <c r="J164" t="s">
        <v>922</v>
      </c>
      <c r="K164" s="30">
        <v>42871</v>
      </c>
      <c r="L164" s="8">
        <v>42916.815636574072</v>
      </c>
      <c r="M164" s="21">
        <f>LEN(ProjTextTable[[#This Row],[text]])</f>
        <v>3094</v>
      </c>
      <c r="N164" s="21">
        <f>LEN(TRIM(CLEAN(SUBSTITUTE(ProjTextTable[[#This Row],[text]],CHAR(10)," "))))+1 - LEN(SUBSTITUTE(CLEAN(SUBSTITUTE(ProjTextTable[[#This Row],[text]],CHAR(10)," "))," ",""))</f>
        <v>436</v>
      </c>
      <c r="O164" t="s">
        <v>923</v>
      </c>
      <c r="P164" t="s">
        <v>1209</v>
      </c>
    </row>
    <row r="165" spans="1:16">
      <c r="A165">
        <f t="shared" si="2"/>
        <v>25</v>
      </c>
      <c r="B165" t="s">
        <v>1207</v>
      </c>
      <c r="C165" t="s">
        <v>1208</v>
      </c>
      <c r="D165" t="s">
        <v>2</v>
      </c>
      <c r="E165" t="s">
        <v>540</v>
      </c>
      <c r="F165" t="s">
        <v>13</v>
      </c>
      <c r="G165" t="s">
        <v>925</v>
      </c>
      <c r="H165" t="s">
        <v>13</v>
      </c>
      <c r="I165" t="s">
        <v>13</v>
      </c>
      <c r="K165" s="30"/>
      <c r="L165" s="8">
        <v>42914.639050925929</v>
      </c>
      <c r="M165" s="21">
        <f>LEN(ProjTextTable[[#This Row],[text]])</f>
        <v>1988</v>
      </c>
      <c r="N165" s="21">
        <f>LEN(TRIM(CLEAN(SUBSTITUTE(ProjTextTable[[#This Row],[text]],CHAR(10)," "))))+1 - LEN(SUBSTITUTE(CLEAN(SUBSTITUTE(ProjTextTable[[#This Row],[text]],CHAR(10)," "))," ",""))</f>
        <v>295</v>
      </c>
      <c r="O165" t="s">
        <v>13</v>
      </c>
      <c r="P165" t="s">
        <v>1210</v>
      </c>
    </row>
    <row r="166" spans="1:16">
      <c r="A166">
        <f t="shared" si="2"/>
        <v>25</v>
      </c>
      <c r="B166" t="s">
        <v>1207</v>
      </c>
      <c r="C166" t="s">
        <v>1208</v>
      </c>
      <c r="D166" t="s">
        <v>194</v>
      </c>
      <c r="E166" t="s">
        <v>543</v>
      </c>
      <c r="F166" t="s">
        <v>1084</v>
      </c>
      <c r="G166" t="s">
        <v>1085</v>
      </c>
      <c r="H166" t="s">
        <v>1086</v>
      </c>
      <c r="I166" t="s">
        <v>95</v>
      </c>
      <c r="J166" t="s">
        <v>176</v>
      </c>
      <c r="K166" s="30">
        <v>42872</v>
      </c>
      <c r="L166" s="8">
        <v>42873.550636574073</v>
      </c>
      <c r="M166" s="21">
        <f>LEN(ProjTextTable[[#This Row],[text]])</f>
        <v>2216</v>
      </c>
      <c r="N166" s="21">
        <f>LEN(TRIM(CLEAN(SUBSTITUTE(ProjTextTable[[#This Row],[text]],CHAR(10)," "))))+1 - LEN(SUBSTITUTE(CLEAN(SUBSTITUTE(ProjTextTable[[#This Row],[text]],CHAR(10)," "))," ",""))</f>
        <v>362</v>
      </c>
      <c r="O166" t="s">
        <v>209</v>
      </c>
      <c r="P166" t="s">
        <v>1211</v>
      </c>
    </row>
    <row r="167" spans="1:16">
      <c r="A167">
        <f t="shared" si="2"/>
        <v>25</v>
      </c>
      <c r="B167" t="s">
        <v>1207</v>
      </c>
      <c r="C167" t="s">
        <v>1208</v>
      </c>
      <c r="D167" t="s">
        <v>194</v>
      </c>
      <c r="E167" t="s">
        <v>543</v>
      </c>
      <c r="F167" t="s">
        <v>927</v>
      </c>
      <c r="G167" t="s">
        <v>928</v>
      </c>
      <c r="H167" t="s">
        <v>929</v>
      </c>
      <c r="I167" t="s">
        <v>95</v>
      </c>
      <c r="J167" t="s">
        <v>176</v>
      </c>
      <c r="K167" s="30">
        <v>42872</v>
      </c>
      <c r="L167" s="8">
        <v>42868.606006944443</v>
      </c>
      <c r="M167" s="21">
        <f>LEN(ProjTextTable[[#This Row],[text]])</f>
        <v>2802</v>
      </c>
      <c r="N167" s="21">
        <f>LEN(TRIM(CLEAN(SUBSTITUTE(ProjTextTable[[#This Row],[text]],CHAR(10)," "))))+1 - LEN(SUBSTITUTE(CLEAN(SUBSTITUTE(ProjTextTable[[#This Row],[text]],CHAR(10)," "))," ",""))</f>
        <v>393</v>
      </c>
      <c r="O167" t="s">
        <v>199</v>
      </c>
      <c r="P167" t="s">
        <v>1212</v>
      </c>
    </row>
    <row r="168" spans="1:16">
      <c r="A168">
        <f t="shared" si="2"/>
        <v>25</v>
      </c>
      <c r="B168" t="s">
        <v>1207</v>
      </c>
      <c r="C168" t="s">
        <v>1208</v>
      </c>
      <c r="D168" t="s">
        <v>194</v>
      </c>
      <c r="E168" t="s">
        <v>543</v>
      </c>
      <c r="F168" t="s">
        <v>993</v>
      </c>
      <c r="G168" t="s">
        <v>994</v>
      </c>
      <c r="H168" t="s">
        <v>995</v>
      </c>
      <c r="I168" t="s">
        <v>95</v>
      </c>
      <c r="J168" t="s">
        <v>176</v>
      </c>
      <c r="K168" s="30">
        <v>42872</v>
      </c>
      <c r="L168" s="8">
        <v>42864.883159722223</v>
      </c>
      <c r="M168" s="21">
        <f>LEN(ProjTextTable[[#This Row],[text]])</f>
        <v>3319</v>
      </c>
      <c r="N168" s="21">
        <f>LEN(TRIM(CLEAN(SUBSTITUTE(ProjTextTable[[#This Row],[text]],CHAR(10)," "))))+1 - LEN(SUBSTITUTE(CLEAN(SUBSTITUTE(ProjTextTable[[#This Row],[text]],CHAR(10)," "))," ",""))</f>
        <v>496</v>
      </c>
      <c r="O168" t="s">
        <v>202</v>
      </c>
      <c r="P168" t="s">
        <v>1213</v>
      </c>
    </row>
    <row r="169" spans="1:16">
      <c r="A169">
        <f t="shared" si="2"/>
        <v>25</v>
      </c>
      <c r="B169" t="s">
        <v>1207</v>
      </c>
      <c r="C169" t="s">
        <v>1208</v>
      </c>
      <c r="D169" t="s">
        <v>196</v>
      </c>
      <c r="E169" t="s">
        <v>540</v>
      </c>
      <c r="F169" t="s">
        <v>13</v>
      </c>
      <c r="G169" t="s">
        <v>13</v>
      </c>
      <c r="H169" t="s">
        <v>13</v>
      </c>
      <c r="K169" s="30"/>
      <c r="L169" s="8">
        <v>42810.042361111111</v>
      </c>
      <c r="M169" s="21">
        <f>LEN(ProjTextTable[[#This Row],[text]])</f>
        <v>3149</v>
      </c>
      <c r="N169" s="21">
        <f>LEN(TRIM(CLEAN(SUBSTITUTE(ProjTextTable[[#This Row],[text]],CHAR(10)," "))))+1 - LEN(SUBSTITUTE(CLEAN(SUBSTITUTE(ProjTextTable[[#This Row],[text]],CHAR(10)," "))," ",""))</f>
        <v>428</v>
      </c>
      <c r="O169" t="s">
        <v>13</v>
      </c>
      <c r="P169" t="s">
        <v>1214</v>
      </c>
    </row>
    <row r="170" spans="1:16">
      <c r="A170">
        <f t="shared" si="2"/>
        <v>26</v>
      </c>
      <c r="B170" t="s">
        <v>1215</v>
      </c>
      <c r="C170" t="s">
        <v>1216</v>
      </c>
      <c r="D170" t="s">
        <v>205</v>
      </c>
      <c r="E170" t="s">
        <v>543</v>
      </c>
      <c r="F170" t="s">
        <v>919</v>
      </c>
      <c r="G170" t="s">
        <v>920</v>
      </c>
      <c r="H170" t="s">
        <v>921</v>
      </c>
      <c r="I170" t="s">
        <v>193</v>
      </c>
      <c r="J170" t="s">
        <v>922</v>
      </c>
      <c r="K170" s="30">
        <v>42871</v>
      </c>
      <c r="L170" s="8">
        <v>42916.815636574072</v>
      </c>
      <c r="M170" s="21">
        <f>LEN(ProjTextTable[[#This Row],[text]])</f>
        <v>3216</v>
      </c>
      <c r="N170" s="21">
        <f>LEN(TRIM(CLEAN(SUBSTITUTE(ProjTextTable[[#This Row],[text]],CHAR(10)," "))))+1 - LEN(SUBSTITUTE(CLEAN(SUBSTITUTE(ProjTextTable[[#This Row],[text]],CHAR(10)," "))," ",""))</f>
        <v>465</v>
      </c>
      <c r="O170" t="s">
        <v>923</v>
      </c>
      <c r="P170" t="s">
        <v>1217</v>
      </c>
    </row>
    <row r="171" spans="1:16">
      <c r="A171">
        <f t="shared" si="2"/>
        <v>26</v>
      </c>
      <c r="B171" t="s">
        <v>1215</v>
      </c>
      <c r="C171" t="s">
        <v>1216</v>
      </c>
      <c r="D171" t="s">
        <v>2</v>
      </c>
      <c r="E171" t="s">
        <v>543</v>
      </c>
      <c r="F171" t="s">
        <v>13</v>
      </c>
      <c r="G171" t="s">
        <v>925</v>
      </c>
      <c r="H171" t="s">
        <v>13</v>
      </c>
      <c r="I171" t="s">
        <v>13</v>
      </c>
      <c r="K171" s="30"/>
      <c r="L171" s="8">
        <v>42951.506886574076</v>
      </c>
      <c r="M171" s="21">
        <f>LEN(ProjTextTable[[#This Row],[text]])</f>
        <v>4592</v>
      </c>
      <c r="N171" s="21">
        <f>LEN(TRIM(CLEAN(SUBSTITUTE(ProjTextTable[[#This Row],[text]],CHAR(10)," "))))+1 - LEN(SUBSTITUTE(CLEAN(SUBSTITUTE(ProjTextTable[[#This Row],[text]],CHAR(10)," "))," ",""))</f>
        <v>679</v>
      </c>
      <c r="O171" t="s">
        <v>13</v>
      </c>
      <c r="P171" t="s">
        <v>926</v>
      </c>
    </row>
    <row r="172" spans="1:16">
      <c r="A172">
        <f t="shared" si="2"/>
        <v>26</v>
      </c>
      <c r="B172" t="s">
        <v>1215</v>
      </c>
      <c r="C172" t="s">
        <v>1216</v>
      </c>
      <c r="D172" t="s">
        <v>194</v>
      </c>
      <c r="E172" t="s">
        <v>543</v>
      </c>
      <c r="F172" t="s">
        <v>1089</v>
      </c>
      <c r="G172" t="s">
        <v>1090</v>
      </c>
      <c r="H172" t="s">
        <v>1091</v>
      </c>
      <c r="I172" t="s">
        <v>95</v>
      </c>
      <c r="J172" t="s">
        <v>176</v>
      </c>
      <c r="K172" s="30">
        <v>42872</v>
      </c>
      <c r="L172" s="8">
        <v>42869.971365740741</v>
      </c>
      <c r="M172" s="21">
        <f>LEN(ProjTextTable[[#This Row],[text]])</f>
        <v>5433</v>
      </c>
      <c r="N172" s="21">
        <f>LEN(TRIM(CLEAN(SUBSTITUTE(ProjTextTable[[#This Row],[text]],CHAR(10)," "))))+1 - LEN(SUBSTITUTE(CLEAN(SUBSTITUTE(ProjTextTable[[#This Row],[text]],CHAR(10)," "))," ",""))</f>
        <v>858</v>
      </c>
      <c r="O172" t="s">
        <v>199</v>
      </c>
      <c r="P172" t="s">
        <v>1218</v>
      </c>
    </row>
    <row r="173" spans="1:16">
      <c r="A173">
        <f t="shared" si="2"/>
        <v>26</v>
      </c>
      <c r="B173" t="s">
        <v>1215</v>
      </c>
      <c r="C173" t="s">
        <v>1216</v>
      </c>
      <c r="D173" t="s">
        <v>194</v>
      </c>
      <c r="E173" t="s">
        <v>543</v>
      </c>
      <c r="F173" t="s">
        <v>1105</v>
      </c>
      <c r="G173" t="s">
        <v>1106</v>
      </c>
      <c r="H173" t="s">
        <v>1107</v>
      </c>
      <c r="I173" t="s">
        <v>95</v>
      </c>
      <c r="J173" t="s">
        <v>176</v>
      </c>
      <c r="K173" s="30">
        <v>42872</v>
      </c>
      <c r="L173" s="8">
        <v>42869.566631944443</v>
      </c>
      <c r="M173" s="21">
        <f>LEN(ProjTextTable[[#This Row],[text]])</f>
        <v>3508</v>
      </c>
      <c r="N173" s="21">
        <f>LEN(TRIM(CLEAN(SUBSTITUTE(ProjTextTable[[#This Row],[text]],CHAR(10)," "))))+1 - LEN(SUBSTITUTE(CLEAN(SUBSTITUTE(ProjTextTable[[#This Row],[text]],CHAR(10)," "))," ",""))</f>
        <v>537</v>
      </c>
      <c r="O173" t="s">
        <v>195</v>
      </c>
      <c r="P173" t="s">
        <v>1219</v>
      </c>
    </row>
    <row r="174" spans="1:16">
      <c r="A174">
        <f t="shared" si="2"/>
        <v>26</v>
      </c>
      <c r="B174" t="s">
        <v>1215</v>
      </c>
      <c r="C174" t="s">
        <v>1216</v>
      </c>
      <c r="D174" t="s">
        <v>194</v>
      </c>
      <c r="E174" t="s">
        <v>543</v>
      </c>
      <c r="F174" t="s">
        <v>935</v>
      </c>
      <c r="G174" t="s">
        <v>936</v>
      </c>
      <c r="H174" t="s">
        <v>937</v>
      </c>
      <c r="I174" t="s">
        <v>95</v>
      </c>
      <c r="J174" t="s">
        <v>176</v>
      </c>
      <c r="K174" s="30">
        <v>42872</v>
      </c>
      <c r="L174" s="8">
        <v>42872.505069444444</v>
      </c>
      <c r="M174" s="21">
        <f>LEN(ProjTextTable[[#This Row],[text]])</f>
        <v>6979</v>
      </c>
      <c r="N174" s="21">
        <f>LEN(TRIM(CLEAN(SUBSTITUTE(ProjTextTable[[#This Row],[text]],CHAR(10)," "))))+1 - LEN(SUBSTITUTE(CLEAN(SUBSTITUTE(ProjTextTable[[#This Row],[text]],CHAR(10)," "))," ",""))</f>
        <v>972</v>
      </c>
      <c r="O174" t="s">
        <v>202</v>
      </c>
      <c r="P174" t="s">
        <v>1220</v>
      </c>
    </row>
    <row r="175" spans="1:16">
      <c r="A175">
        <f t="shared" si="2"/>
        <v>26</v>
      </c>
      <c r="B175" t="s">
        <v>1215</v>
      </c>
      <c r="C175" t="s">
        <v>1216</v>
      </c>
      <c r="D175" t="s">
        <v>196</v>
      </c>
      <c r="E175" t="s">
        <v>543</v>
      </c>
      <c r="F175" t="s">
        <v>13</v>
      </c>
      <c r="G175" t="s">
        <v>13</v>
      </c>
      <c r="H175" t="s">
        <v>13</v>
      </c>
      <c r="K175" s="30"/>
      <c r="L175" s="8">
        <v>42810.042361111111</v>
      </c>
      <c r="M175" s="21">
        <f>LEN(ProjTextTable[[#This Row],[text]])</f>
        <v>3717</v>
      </c>
      <c r="N175" s="21">
        <f>LEN(TRIM(CLEAN(SUBSTITUTE(ProjTextTable[[#This Row],[text]],CHAR(10)," "))))+1 - LEN(SUBSTITUTE(CLEAN(SUBSTITUTE(ProjTextTable[[#This Row],[text]],CHAR(10)," "))," ",""))</f>
        <v>538</v>
      </c>
      <c r="O175" t="s">
        <v>13</v>
      </c>
      <c r="P175" t="s">
        <v>1221</v>
      </c>
    </row>
    <row r="176" spans="1:16">
      <c r="A176">
        <f t="shared" si="2"/>
        <v>27</v>
      </c>
      <c r="B176" t="s">
        <v>1222</v>
      </c>
      <c r="C176" t="s">
        <v>1223</v>
      </c>
      <c r="D176" t="s">
        <v>205</v>
      </c>
      <c r="E176" t="s">
        <v>942</v>
      </c>
      <c r="F176" t="s">
        <v>943</v>
      </c>
      <c r="G176" t="s">
        <v>944</v>
      </c>
      <c r="H176" t="s">
        <v>1004</v>
      </c>
      <c r="I176" t="s">
        <v>197</v>
      </c>
      <c r="J176" t="s">
        <v>253</v>
      </c>
      <c r="K176" s="30">
        <v>42877</v>
      </c>
      <c r="L176" s="8">
        <v>42916.815636574072</v>
      </c>
      <c r="M176" s="21">
        <f>LEN(ProjTextTable[[#This Row],[text]])</f>
        <v>3065</v>
      </c>
      <c r="N176" s="21">
        <f>LEN(TRIM(CLEAN(SUBSTITUTE(ProjTextTable[[#This Row],[text]],CHAR(10)," "))))+1 - LEN(SUBSTITUTE(CLEAN(SUBSTITUTE(ProjTextTable[[#This Row],[text]],CHAR(10)," "))," ",""))</f>
        <v>422</v>
      </c>
      <c r="O176" t="s">
        <v>176</v>
      </c>
      <c r="P176" t="s">
        <v>1224</v>
      </c>
    </row>
    <row r="177" spans="1:16">
      <c r="A177">
        <f t="shared" si="2"/>
        <v>27</v>
      </c>
      <c r="B177" t="s">
        <v>1222</v>
      </c>
      <c r="C177" t="s">
        <v>1223</v>
      </c>
      <c r="D177" t="s">
        <v>951</v>
      </c>
      <c r="E177" t="s">
        <v>942</v>
      </c>
      <c r="F177" t="s">
        <v>1222</v>
      </c>
      <c r="G177" t="s">
        <v>969</v>
      </c>
      <c r="H177" t="s">
        <v>13</v>
      </c>
      <c r="I177" t="s">
        <v>13</v>
      </c>
      <c r="J177" t="s">
        <v>396</v>
      </c>
      <c r="K177" s="30">
        <v>42955.654166666667</v>
      </c>
      <c r="L177" s="8">
        <v>44781.654166666667</v>
      </c>
      <c r="M177" s="21">
        <f>LEN(ProjTextTable[[#This Row],[text]])</f>
        <v>5313</v>
      </c>
      <c r="N177" s="21">
        <f>LEN(TRIM(CLEAN(SUBSTITUTE(ProjTextTable[[#This Row],[text]],CHAR(10)," "))))+1 - LEN(SUBSTITUTE(CLEAN(SUBSTITUTE(ProjTextTable[[#This Row],[text]],CHAR(10)," "))," ",""))</f>
        <v>758</v>
      </c>
      <c r="O177" t="s">
        <v>13</v>
      </c>
      <c r="P177" t="s">
        <v>1225</v>
      </c>
    </row>
    <row r="178" spans="1:16">
      <c r="A178">
        <f t="shared" si="2"/>
        <v>27</v>
      </c>
      <c r="B178" t="s">
        <v>1222</v>
      </c>
      <c r="C178" t="s">
        <v>1223</v>
      </c>
      <c r="D178" t="s">
        <v>194</v>
      </c>
      <c r="E178" t="s">
        <v>543</v>
      </c>
      <c r="F178" t="s">
        <v>1067</v>
      </c>
      <c r="G178" t="s">
        <v>1068</v>
      </c>
      <c r="H178" t="s">
        <v>1069</v>
      </c>
      <c r="I178" t="s">
        <v>95</v>
      </c>
      <c r="J178" t="s">
        <v>176</v>
      </c>
      <c r="K178" s="30">
        <v>42878</v>
      </c>
      <c r="L178" s="8">
        <v>42876.051898148151</v>
      </c>
      <c r="M178" s="21">
        <f>LEN(ProjTextTable[[#This Row],[text]])</f>
        <v>3750</v>
      </c>
      <c r="N178" s="21">
        <f>LEN(TRIM(CLEAN(SUBSTITUTE(ProjTextTable[[#This Row],[text]],CHAR(10)," "))))+1 - LEN(SUBSTITUTE(CLEAN(SUBSTITUTE(ProjTextTable[[#This Row],[text]],CHAR(10)," "))," ",""))</f>
        <v>570</v>
      </c>
      <c r="O178" t="s">
        <v>199</v>
      </c>
      <c r="P178" t="s">
        <v>1226</v>
      </c>
    </row>
    <row r="179" spans="1:16">
      <c r="A179">
        <f t="shared" si="2"/>
        <v>27</v>
      </c>
      <c r="B179" t="s">
        <v>1222</v>
      </c>
      <c r="C179" t="s">
        <v>1223</v>
      </c>
      <c r="D179" t="s">
        <v>194</v>
      </c>
      <c r="E179" t="s">
        <v>543</v>
      </c>
      <c r="F179" t="s">
        <v>1227</v>
      </c>
      <c r="G179" t="s">
        <v>1228</v>
      </c>
      <c r="H179" t="s">
        <v>1229</v>
      </c>
      <c r="I179" t="s">
        <v>95</v>
      </c>
      <c r="J179" t="s">
        <v>176</v>
      </c>
      <c r="K179" s="30">
        <v>42878</v>
      </c>
      <c r="L179" s="8">
        <v>42874.586863425924</v>
      </c>
      <c r="M179" s="21">
        <f>LEN(ProjTextTable[[#This Row],[text]])</f>
        <v>7417</v>
      </c>
      <c r="N179" s="21">
        <f>LEN(TRIM(CLEAN(SUBSTITUTE(ProjTextTable[[#This Row],[text]],CHAR(10)," "))))+1 - LEN(SUBSTITUTE(CLEAN(SUBSTITUTE(ProjTextTable[[#This Row],[text]],CHAR(10)," "))," ",""))</f>
        <v>1122</v>
      </c>
      <c r="O179" t="s">
        <v>195</v>
      </c>
      <c r="P179" t="s">
        <v>1230</v>
      </c>
    </row>
    <row r="180" spans="1:16">
      <c r="A180">
        <f t="shared" si="2"/>
        <v>27</v>
      </c>
      <c r="B180" t="s">
        <v>1222</v>
      </c>
      <c r="C180" t="s">
        <v>1223</v>
      </c>
      <c r="D180" t="s">
        <v>194</v>
      </c>
      <c r="E180" t="s">
        <v>543</v>
      </c>
      <c r="F180" t="s">
        <v>1047</v>
      </c>
      <c r="G180" t="s">
        <v>1048</v>
      </c>
      <c r="H180" t="s">
        <v>1049</v>
      </c>
      <c r="I180" t="s">
        <v>95</v>
      </c>
      <c r="J180" t="s">
        <v>176</v>
      </c>
      <c r="K180" s="30">
        <v>42878</v>
      </c>
      <c r="L180" s="8">
        <v>42884.185601851852</v>
      </c>
      <c r="M180" s="21">
        <f>LEN(ProjTextTable[[#This Row],[text]])</f>
        <v>2478</v>
      </c>
      <c r="N180" s="21">
        <f>LEN(TRIM(CLEAN(SUBSTITUTE(ProjTextTable[[#This Row],[text]],CHAR(10)," "))))+1 - LEN(SUBSTITUTE(CLEAN(SUBSTITUTE(ProjTextTable[[#This Row],[text]],CHAR(10)," "))," ",""))</f>
        <v>364</v>
      </c>
      <c r="O180" t="s">
        <v>199</v>
      </c>
      <c r="P180" t="s">
        <v>1231</v>
      </c>
    </row>
    <row r="181" spans="1:16">
      <c r="A181">
        <f t="shared" si="2"/>
        <v>27</v>
      </c>
      <c r="B181" t="s">
        <v>1222</v>
      </c>
      <c r="C181" t="s">
        <v>1223</v>
      </c>
      <c r="D181" t="s">
        <v>196</v>
      </c>
      <c r="E181" t="s">
        <v>942</v>
      </c>
      <c r="F181" t="s">
        <v>13</v>
      </c>
      <c r="G181" t="s">
        <v>13</v>
      </c>
      <c r="H181" t="s">
        <v>13</v>
      </c>
      <c r="K181" s="30"/>
      <c r="L181" s="8">
        <v>42810.042361111111</v>
      </c>
      <c r="M181" s="21">
        <f>LEN(ProjTextTable[[#This Row],[text]])</f>
        <v>3380</v>
      </c>
      <c r="N181" s="21">
        <f>LEN(TRIM(CLEAN(SUBSTITUTE(ProjTextTable[[#This Row],[text]],CHAR(10)," "))))+1 - LEN(SUBSTITUTE(CLEAN(SUBSTITUTE(ProjTextTable[[#This Row],[text]],CHAR(10)," "))," ",""))</f>
        <v>474</v>
      </c>
      <c r="O181" t="s">
        <v>13</v>
      </c>
      <c r="P181" t="s">
        <v>1232</v>
      </c>
    </row>
    <row r="182" spans="1:16">
      <c r="A182">
        <f t="shared" si="2"/>
        <v>28</v>
      </c>
      <c r="B182" t="s">
        <v>1233</v>
      </c>
      <c r="C182" t="s">
        <v>1234</v>
      </c>
      <c r="D182" t="s">
        <v>205</v>
      </c>
      <c r="E182" t="s">
        <v>543</v>
      </c>
      <c r="F182" t="s">
        <v>919</v>
      </c>
      <c r="G182" t="s">
        <v>920</v>
      </c>
      <c r="H182" t="s">
        <v>1004</v>
      </c>
      <c r="I182" t="s">
        <v>197</v>
      </c>
      <c r="J182" t="s">
        <v>396</v>
      </c>
      <c r="K182" s="30">
        <v>42871</v>
      </c>
      <c r="L182" s="8">
        <v>42922.825601851851</v>
      </c>
      <c r="M182" s="21">
        <f>LEN(ProjTextTable[[#This Row],[text]])</f>
        <v>4303</v>
      </c>
      <c r="N182" s="21">
        <f>LEN(TRIM(CLEAN(SUBSTITUTE(ProjTextTable[[#This Row],[text]],CHAR(10)," "))))+1 - LEN(SUBSTITUTE(CLEAN(SUBSTITUTE(ProjTextTable[[#This Row],[text]],CHAR(10)," "))," ",""))</f>
        <v>622</v>
      </c>
      <c r="O182" t="s">
        <v>176</v>
      </c>
      <c r="P182" t="s">
        <v>1235</v>
      </c>
    </row>
    <row r="183" spans="1:16">
      <c r="A183">
        <f t="shared" si="2"/>
        <v>28</v>
      </c>
      <c r="B183" t="s">
        <v>1233</v>
      </c>
      <c r="C183" t="s">
        <v>1234</v>
      </c>
      <c r="D183" t="s">
        <v>2</v>
      </c>
      <c r="E183" t="s">
        <v>543</v>
      </c>
      <c r="F183" t="s">
        <v>13</v>
      </c>
      <c r="G183" t="s">
        <v>925</v>
      </c>
      <c r="H183" t="s">
        <v>13</v>
      </c>
      <c r="I183" t="s">
        <v>13</v>
      </c>
      <c r="K183" s="30"/>
      <c r="L183" s="8">
        <v>42957.618854166663</v>
      </c>
      <c r="M183" s="21">
        <f>LEN(ProjTextTable[[#This Row],[text]])</f>
        <v>5366</v>
      </c>
      <c r="N183" s="21">
        <f>LEN(TRIM(CLEAN(SUBSTITUTE(ProjTextTable[[#This Row],[text]],CHAR(10)," "))))+1 - LEN(SUBSTITUTE(CLEAN(SUBSTITUTE(ProjTextTable[[#This Row],[text]],CHAR(10)," "))," ",""))</f>
        <v>794</v>
      </c>
      <c r="O183" t="s">
        <v>13</v>
      </c>
      <c r="P183" t="s">
        <v>1236</v>
      </c>
    </row>
    <row r="184" spans="1:16">
      <c r="A184">
        <f t="shared" si="2"/>
        <v>28</v>
      </c>
      <c r="B184" t="s">
        <v>1233</v>
      </c>
      <c r="C184" t="s">
        <v>1234</v>
      </c>
      <c r="D184" t="s">
        <v>194</v>
      </c>
      <c r="E184" t="s">
        <v>543</v>
      </c>
      <c r="F184" t="s">
        <v>1084</v>
      </c>
      <c r="G184" t="s">
        <v>1085</v>
      </c>
      <c r="H184" t="s">
        <v>1086</v>
      </c>
      <c r="I184" t="s">
        <v>95</v>
      </c>
      <c r="J184" t="s">
        <v>176</v>
      </c>
      <c r="K184" s="30">
        <v>42872</v>
      </c>
      <c r="L184" s="8">
        <v>42873.517569444448</v>
      </c>
      <c r="M184" s="21">
        <f>LEN(ProjTextTable[[#This Row],[text]])</f>
        <v>2120</v>
      </c>
      <c r="N184" s="21">
        <f>LEN(TRIM(CLEAN(SUBSTITUTE(ProjTextTable[[#This Row],[text]],CHAR(10)," "))))+1 - LEN(SUBSTITUTE(CLEAN(SUBSTITUTE(ProjTextTable[[#This Row],[text]],CHAR(10)," "))," ",""))</f>
        <v>324</v>
      </c>
      <c r="O184" t="s">
        <v>201</v>
      </c>
      <c r="P184" t="s">
        <v>1237</v>
      </c>
    </row>
    <row r="185" spans="1:16">
      <c r="A185">
        <f t="shared" si="2"/>
        <v>28</v>
      </c>
      <c r="B185" t="s">
        <v>1233</v>
      </c>
      <c r="C185" t="s">
        <v>1234</v>
      </c>
      <c r="D185" t="s">
        <v>194</v>
      </c>
      <c r="E185" t="s">
        <v>543</v>
      </c>
      <c r="F185" t="s">
        <v>1100</v>
      </c>
      <c r="G185" t="s">
        <v>1101</v>
      </c>
      <c r="H185" t="s">
        <v>1102</v>
      </c>
      <c r="I185" t="s">
        <v>95</v>
      </c>
      <c r="J185" t="s">
        <v>176</v>
      </c>
      <c r="K185" s="30">
        <v>42872</v>
      </c>
      <c r="L185" s="8">
        <v>42872.534687500003</v>
      </c>
      <c r="M185" s="21">
        <f>LEN(ProjTextTable[[#This Row],[text]])</f>
        <v>3850</v>
      </c>
      <c r="N185" s="21">
        <f>LEN(TRIM(CLEAN(SUBSTITUTE(ProjTextTable[[#This Row],[text]],CHAR(10)," "))))+1 - LEN(SUBSTITUTE(CLEAN(SUBSTITUTE(ProjTextTable[[#This Row],[text]],CHAR(10)," "))," ",""))</f>
        <v>615</v>
      </c>
      <c r="O185" t="s">
        <v>202</v>
      </c>
      <c r="P185" t="s">
        <v>1238</v>
      </c>
    </row>
    <row r="186" spans="1:16">
      <c r="A186">
        <f t="shared" si="2"/>
        <v>28</v>
      </c>
      <c r="B186" t="s">
        <v>1233</v>
      </c>
      <c r="C186" t="s">
        <v>1234</v>
      </c>
      <c r="D186" t="s">
        <v>194</v>
      </c>
      <c r="E186" t="s">
        <v>543</v>
      </c>
      <c r="F186" t="s">
        <v>935</v>
      </c>
      <c r="G186" t="s">
        <v>936</v>
      </c>
      <c r="H186" t="s">
        <v>937</v>
      </c>
      <c r="I186" t="s">
        <v>95</v>
      </c>
      <c r="J186" t="s">
        <v>176</v>
      </c>
      <c r="K186" s="30">
        <v>42872</v>
      </c>
      <c r="L186" s="8">
        <v>42872.515497685185</v>
      </c>
      <c r="M186" s="21">
        <f>LEN(ProjTextTable[[#This Row],[text]])</f>
        <v>6914</v>
      </c>
      <c r="N186" s="21">
        <f>LEN(TRIM(CLEAN(SUBSTITUTE(ProjTextTable[[#This Row],[text]],CHAR(10)," "))))+1 - LEN(SUBSTITUTE(CLEAN(SUBSTITUTE(ProjTextTable[[#This Row],[text]],CHAR(10)," "))," ",""))</f>
        <v>936</v>
      </c>
      <c r="O186" t="s">
        <v>198</v>
      </c>
      <c r="P186" t="s">
        <v>1239</v>
      </c>
    </row>
    <row r="187" spans="1:16">
      <c r="A187">
        <f t="shared" si="2"/>
        <v>28</v>
      </c>
      <c r="B187" t="s">
        <v>1233</v>
      </c>
      <c r="C187" t="s">
        <v>1234</v>
      </c>
      <c r="D187" t="s">
        <v>196</v>
      </c>
      <c r="E187" t="s">
        <v>543</v>
      </c>
      <c r="F187" t="s">
        <v>13</v>
      </c>
      <c r="G187" t="s">
        <v>13</v>
      </c>
      <c r="H187" t="s">
        <v>13</v>
      </c>
      <c r="K187" s="30"/>
      <c r="L187" s="8">
        <v>42810.042361111111</v>
      </c>
      <c r="M187" s="21">
        <f>LEN(ProjTextTable[[#This Row],[text]])</f>
        <v>2854</v>
      </c>
      <c r="N187" s="21">
        <f>LEN(TRIM(CLEAN(SUBSTITUTE(ProjTextTable[[#This Row],[text]],CHAR(10)," "))))+1 - LEN(SUBSTITUTE(CLEAN(SUBSTITUTE(ProjTextTable[[#This Row],[text]],CHAR(10)," "))," ",""))</f>
        <v>406</v>
      </c>
      <c r="O187" t="s">
        <v>13</v>
      </c>
      <c r="P187" t="s">
        <v>1240</v>
      </c>
    </row>
    <row r="188" spans="1:16">
      <c r="A188">
        <f t="shared" si="2"/>
        <v>29</v>
      </c>
      <c r="B188" t="s">
        <v>1241</v>
      </c>
      <c r="C188" t="s">
        <v>1242</v>
      </c>
      <c r="D188" t="s">
        <v>205</v>
      </c>
      <c r="E188" t="s">
        <v>942</v>
      </c>
      <c r="F188" t="s">
        <v>943</v>
      </c>
      <c r="G188" t="s">
        <v>944</v>
      </c>
      <c r="H188" t="s">
        <v>921</v>
      </c>
      <c r="I188" t="s">
        <v>193</v>
      </c>
      <c r="J188" t="s">
        <v>396</v>
      </c>
      <c r="K188" s="30">
        <v>42877</v>
      </c>
      <c r="L188" s="8">
        <v>42916.815636574072</v>
      </c>
      <c r="M188" s="21">
        <f>LEN(ProjTextTable[[#This Row],[text]])</f>
        <v>2194</v>
      </c>
      <c r="N188" s="21">
        <f>LEN(TRIM(CLEAN(SUBSTITUTE(ProjTextTable[[#This Row],[text]],CHAR(10)," "))))+1 - LEN(SUBSTITUTE(CLEAN(SUBSTITUTE(ProjTextTable[[#This Row],[text]],CHAR(10)," "))," ",""))</f>
        <v>309</v>
      </c>
      <c r="O188" t="s">
        <v>923</v>
      </c>
      <c r="P188" t="s">
        <v>1243</v>
      </c>
    </row>
    <row r="189" spans="1:16">
      <c r="A189">
        <f t="shared" si="2"/>
        <v>29</v>
      </c>
      <c r="B189" t="s">
        <v>1241</v>
      </c>
      <c r="C189" t="s">
        <v>1242</v>
      </c>
      <c r="D189" t="s">
        <v>194</v>
      </c>
      <c r="E189" t="s">
        <v>543</v>
      </c>
      <c r="F189" t="s">
        <v>1227</v>
      </c>
      <c r="G189" t="s">
        <v>1228</v>
      </c>
      <c r="H189" t="s">
        <v>1229</v>
      </c>
      <c r="I189" t="s">
        <v>95</v>
      </c>
      <c r="J189" t="s">
        <v>176</v>
      </c>
      <c r="K189" s="30">
        <v>42878</v>
      </c>
      <c r="L189" s="8">
        <v>42877.658831018518</v>
      </c>
      <c r="M189" s="21">
        <f>LEN(ProjTextTable[[#This Row],[text]])</f>
        <v>5779</v>
      </c>
      <c r="N189" s="21">
        <f>LEN(TRIM(CLEAN(SUBSTITUTE(ProjTextTable[[#This Row],[text]],CHAR(10)," "))))+1 - LEN(SUBSTITUTE(CLEAN(SUBSTITUTE(ProjTextTable[[#This Row],[text]],CHAR(10)," "))," ",""))</f>
        <v>860</v>
      </c>
      <c r="O189" t="s">
        <v>203</v>
      </c>
      <c r="P189" t="s">
        <v>1244</v>
      </c>
    </row>
    <row r="190" spans="1:16">
      <c r="A190">
        <f t="shared" si="2"/>
        <v>29</v>
      </c>
      <c r="B190" t="s">
        <v>1241</v>
      </c>
      <c r="C190" t="s">
        <v>1242</v>
      </c>
      <c r="D190" t="s">
        <v>194</v>
      </c>
      <c r="E190" t="s">
        <v>543</v>
      </c>
      <c r="F190" t="s">
        <v>1155</v>
      </c>
      <c r="G190" t="s">
        <v>1156</v>
      </c>
      <c r="H190" t="s">
        <v>1157</v>
      </c>
      <c r="I190" t="s">
        <v>95</v>
      </c>
      <c r="J190" t="s">
        <v>176</v>
      </c>
      <c r="K190" s="30">
        <v>42878</v>
      </c>
      <c r="L190" s="8">
        <v>42876.897175925929</v>
      </c>
      <c r="M190" s="21">
        <f>LEN(ProjTextTable[[#This Row],[text]])</f>
        <v>2238</v>
      </c>
      <c r="N190" s="21">
        <f>LEN(TRIM(CLEAN(SUBSTITUTE(ProjTextTable[[#This Row],[text]],CHAR(10)," "))))+1 - LEN(SUBSTITUTE(CLEAN(SUBSTITUTE(ProjTextTable[[#This Row],[text]],CHAR(10)," "))," ",""))</f>
        <v>334</v>
      </c>
      <c r="O190" t="s">
        <v>199</v>
      </c>
      <c r="P190" t="s">
        <v>1245</v>
      </c>
    </row>
    <row r="191" spans="1:16">
      <c r="A191">
        <f t="shared" si="2"/>
        <v>29</v>
      </c>
      <c r="B191" t="s">
        <v>1241</v>
      </c>
      <c r="C191" t="s">
        <v>1242</v>
      </c>
      <c r="D191" t="s">
        <v>194</v>
      </c>
      <c r="E191" t="s">
        <v>543</v>
      </c>
      <c r="F191" t="s">
        <v>1018</v>
      </c>
      <c r="G191" t="s">
        <v>1019</v>
      </c>
      <c r="H191" t="s">
        <v>1020</v>
      </c>
      <c r="I191" t="s">
        <v>95</v>
      </c>
      <c r="J191" t="s">
        <v>176</v>
      </c>
      <c r="K191" s="30">
        <v>42878</v>
      </c>
      <c r="L191" s="8">
        <v>42878.374814814815</v>
      </c>
      <c r="M191" s="21">
        <f>LEN(ProjTextTable[[#This Row],[text]])</f>
        <v>2095</v>
      </c>
      <c r="N191" s="21">
        <f>LEN(TRIM(CLEAN(SUBSTITUTE(ProjTextTable[[#This Row],[text]],CHAR(10)," "))))+1 - LEN(SUBSTITUTE(CLEAN(SUBSTITUTE(ProjTextTable[[#This Row],[text]],CHAR(10)," "))," ",""))</f>
        <v>289</v>
      </c>
      <c r="O191" t="s">
        <v>202</v>
      </c>
      <c r="P191" t="s">
        <v>1246</v>
      </c>
    </row>
    <row r="192" spans="1:16">
      <c r="A192">
        <f t="shared" si="2"/>
        <v>29</v>
      </c>
      <c r="B192" t="s">
        <v>1241</v>
      </c>
      <c r="C192" t="s">
        <v>1242</v>
      </c>
      <c r="D192" t="s">
        <v>196</v>
      </c>
      <c r="E192" t="s">
        <v>942</v>
      </c>
      <c r="F192" t="s">
        <v>13</v>
      </c>
      <c r="G192" t="s">
        <v>13</v>
      </c>
      <c r="H192" t="s">
        <v>13</v>
      </c>
      <c r="K192" s="30"/>
      <c r="L192" s="8">
        <v>42810.042372685188</v>
      </c>
      <c r="M192" s="21">
        <f>LEN(ProjTextTable[[#This Row],[text]])</f>
        <v>3882</v>
      </c>
      <c r="N192" s="21">
        <f>LEN(TRIM(CLEAN(SUBSTITUTE(ProjTextTable[[#This Row],[text]],CHAR(10)," "))))+1 - LEN(SUBSTITUTE(CLEAN(SUBSTITUTE(ProjTextTable[[#This Row],[text]],CHAR(10)," "))," ",""))</f>
        <v>540</v>
      </c>
      <c r="O192" t="s">
        <v>13</v>
      </c>
      <c r="P192" t="s">
        <v>1247</v>
      </c>
    </row>
    <row r="193" spans="1:16">
      <c r="A193">
        <f t="shared" si="2"/>
        <v>30</v>
      </c>
      <c r="B193" t="s">
        <v>1248</v>
      </c>
      <c r="C193" t="s">
        <v>1249</v>
      </c>
      <c r="D193" t="s">
        <v>205</v>
      </c>
      <c r="E193" t="s">
        <v>543</v>
      </c>
      <c r="F193" t="s">
        <v>919</v>
      </c>
      <c r="G193" t="s">
        <v>920</v>
      </c>
      <c r="H193" t="s">
        <v>1004</v>
      </c>
      <c r="I193" t="s">
        <v>197</v>
      </c>
      <c r="J193" t="s">
        <v>252</v>
      </c>
      <c r="K193" s="30">
        <v>42871</v>
      </c>
      <c r="L193" s="8">
        <v>42922.825601851851</v>
      </c>
      <c r="M193" s="21">
        <f>LEN(ProjTextTable[[#This Row],[text]])</f>
        <v>4249</v>
      </c>
      <c r="N193" s="21">
        <f>LEN(TRIM(CLEAN(SUBSTITUTE(ProjTextTable[[#This Row],[text]],CHAR(10)," "))))+1 - LEN(SUBSTITUTE(CLEAN(SUBSTITUTE(ProjTextTable[[#This Row],[text]],CHAR(10)," "))," ",""))</f>
        <v>642</v>
      </c>
      <c r="O193" t="s">
        <v>176</v>
      </c>
      <c r="P193" t="s">
        <v>1250</v>
      </c>
    </row>
    <row r="194" spans="1:16">
      <c r="A194">
        <f t="shared" ref="A194:A257" si="3">A193+(B194&lt;&gt;B193)</f>
        <v>30</v>
      </c>
      <c r="B194" t="s">
        <v>1248</v>
      </c>
      <c r="C194" t="s">
        <v>1249</v>
      </c>
      <c r="D194" t="s">
        <v>2</v>
      </c>
      <c r="E194" t="s">
        <v>540</v>
      </c>
      <c r="F194" t="s">
        <v>13</v>
      </c>
      <c r="G194" t="s">
        <v>925</v>
      </c>
      <c r="H194" t="s">
        <v>13</v>
      </c>
      <c r="I194" t="s">
        <v>13</v>
      </c>
      <c r="K194" s="30"/>
      <c r="L194" s="8">
        <v>42920.123148148145</v>
      </c>
      <c r="M194" s="21">
        <f>LEN(ProjTextTable[[#This Row],[text]])</f>
        <v>3128</v>
      </c>
      <c r="N194" s="21">
        <f>LEN(TRIM(CLEAN(SUBSTITUTE(ProjTextTable[[#This Row],[text]],CHAR(10)," "))))+1 - LEN(SUBSTITUTE(CLEAN(SUBSTITUTE(ProjTextTable[[#This Row],[text]],CHAR(10)," "))," ",""))</f>
        <v>446</v>
      </c>
      <c r="O194" t="s">
        <v>13</v>
      </c>
      <c r="P194" t="s">
        <v>1251</v>
      </c>
    </row>
    <row r="195" spans="1:16">
      <c r="A195">
        <f t="shared" si="3"/>
        <v>30</v>
      </c>
      <c r="B195" t="s">
        <v>1248</v>
      </c>
      <c r="C195" t="s">
        <v>1249</v>
      </c>
      <c r="D195" t="s">
        <v>194</v>
      </c>
      <c r="E195" t="s">
        <v>543</v>
      </c>
      <c r="F195" t="s">
        <v>989</v>
      </c>
      <c r="G195" t="s">
        <v>990</v>
      </c>
      <c r="H195" t="s">
        <v>991</v>
      </c>
      <c r="I195" t="s">
        <v>95</v>
      </c>
      <c r="J195" t="s">
        <v>176</v>
      </c>
      <c r="K195" s="30">
        <v>42872</v>
      </c>
      <c r="L195" s="8">
        <v>42872.396249999998</v>
      </c>
      <c r="M195" s="21">
        <f>LEN(ProjTextTable[[#This Row],[text]])</f>
        <v>4989</v>
      </c>
      <c r="N195" s="21">
        <f>LEN(TRIM(CLEAN(SUBSTITUTE(ProjTextTable[[#This Row],[text]],CHAR(10)," "))))+1 - LEN(SUBSTITUTE(CLEAN(SUBSTITUTE(ProjTextTable[[#This Row],[text]],CHAR(10)," "))," ",""))</f>
        <v>794</v>
      </c>
      <c r="O195" t="s">
        <v>202</v>
      </c>
      <c r="P195" t="s">
        <v>1252</v>
      </c>
    </row>
    <row r="196" spans="1:16">
      <c r="A196">
        <f t="shared" si="3"/>
        <v>30</v>
      </c>
      <c r="B196" t="s">
        <v>1248</v>
      </c>
      <c r="C196" t="s">
        <v>1249</v>
      </c>
      <c r="D196" t="s">
        <v>194</v>
      </c>
      <c r="E196" t="s">
        <v>543</v>
      </c>
      <c r="F196" t="s">
        <v>1127</v>
      </c>
      <c r="G196" t="s">
        <v>1128</v>
      </c>
      <c r="H196" t="s">
        <v>1129</v>
      </c>
      <c r="I196" t="s">
        <v>95</v>
      </c>
      <c r="J196" t="s">
        <v>176</v>
      </c>
      <c r="K196" s="30">
        <v>42872</v>
      </c>
      <c r="L196" s="8">
        <v>42870.849456018521</v>
      </c>
      <c r="M196" s="21">
        <f>LEN(ProjTextTable[[#This Row],[text]])</f>
        <v>3705</v>
      </c>
      <c r="N196" s="21">
        <f>LEN(TRIM(CLEAN(SUBSTITUTE(ProjTextTable[[#This Row],[text]],CHAR(10)," "))))+1 - LEN(SUBSTITUTE(CLEAN(SUBSTITUTE(ProjTextTable[[#This Row],[text]],CHAR(10)," "))," ",""))</f>
        <v>582</v>
      </c>
      <c r="O196" t="s">
        <v>198</v>
      </c>
      <c r="P196" t="s">
        <v>1253</v>
      </c>
    </row>
    <row r="197" spans="1:16">
      <c r="A197">
        <f t="shared" si="3"/>
        <v>30</v>
      </c>
      <c r="B197" t="s">
        <v>1248</v>
      </c>
      <c r="C197" t="s">
        <v>1249</v>
      </c>
      <c r="D197" t="s">
        <v>194</v>
      </c>
      <c r="E197" t="s">
        <v>543</v>
      </c>
      <c r="F197" t="s">
        <v>931</v>
      </c>
      <c r="G197" t="s">
        <v>932</v>
      </c>
      <c r="H197" t="s">
        <v>933</v>
      </c>
      <c r="I197" t="s">
        <v>95</v>
      </c>
      <c r="J197" t="s">
        <v>176</v>
      </c>
      <c r="K197" s="30">
        <v>42872</v>
      </c>
      <c r="L197" s="8">
        <v>42868.739490740743</v>
      </c>
      <c r="M197" s="21">
        <f>LEN(ProjTextTable[[#This Row],[text]])</f>
        <v>3086</v>
      </c>
      <c r="N197" s="21">
        <f>LEN(TRIM(CLEAN(SUBSTITUTE(ProjTextTable[[#This Row],[text]],CHAR(10)," "))))+1 - LEN(SUBSTITUTE(CLEAN(SUBSTITUTE(ProjTextTable[[#This Row],[text]],CHAR(10)," "))," ",""))</f>
        <v>459</v>
      </c>
      <c r="O197" t="s">
        <v>199</v>
      </c>
      <c r="P197" t="s">
        <v>1254</v>
      </c>
    </row>
    <row r="198" spans="1:16">
      <c r="A198">
        <f t="shared" si="3"/>
        <v>30</v>
      </c>
      <c r="B198" t="s">
        <v>1248</v>
      </c>
      <c r="C198" t="s">
        <v>1249</v>
      </c>
      <c r="D198" t="s">
        <v>196</v>
      </c>
      <c r="E198" t="s">
        <v>540</v>
      </c>
      <c r="F198" t="s">
        <v>13</v>
      </c>
      <c r="G198" t="s">
        <v>13</v>
      </c>
      <c r="H198" t="s">
        <v>13</v>
      </c>
      <c r="K198" s="30"/>
      <c r="L198" s="8">
        <v>42810.042372685188</v>
      </c>
      <c r="M198" s="21">
        <f>LEN(ProjTextTable[[#This Row],[text]])</f>
        <v>4481</v>
      </c>
      <c r="N198" s="21">
        <f>LEN(TRIM(CLEAN(SUBSTITUTE(ProjTextTable[[#This Row],[text]],CHAR(10)," "))))+1 - LEN(SUBSTITUTE(CLEAN(SUBSTITUTE(ProjTextTable[[#This Row],[text]],CHAR(10)," "))," ",""))</f>
        <v>647</v>
      </c>
      <c r="O198" t="s">
        <v>13</v>
      </c>
      <c r="P198" t="s">
        <v>1255</v>
      </c>
    </row>
    <row r="199" spans="1:16">
      <c r="A199">
        <f t="shared" si="3"/>
        <v>31</v>
      </c>
      <c r="B199" t="s">
        <v>1256</v>
      </c>
      <c r="C199" t="s">
        <v>1257</v>
      </c>
      <c r="D199" t="s">
        <v>205</v>
      </c>
      <c r="E199" t="s">
        <v>942</v>
      </c>
      <c r="F199" t="s">
        <v>943</v>
      </c>
      <c r="G199" t="s">
        <v>944</v>
      </c>
      <c r="H199" t="s">
        <v>921</v>
      </c>
      <c r="I199" t="s">
        <v>193</v>
      </c>
      <c r="J199" t="s">
        <v>396</v>
      </c>
      <c r="K199" s="30">
        <v>42877</v>
      </c>
      <c r="L199" s="8">
        <v>42916.815636574072</v>
      </c>
      <c r="M199" s="21">
        <f>LEN(ProjTextTable[[#This Row],[text]])</f>
        <v>3092</v>
      </c>
      <c r="N199" s="21">
        <f>LEN(TRIM(CLEAN(SUBSTITUTE(ProjTextTable[[#This Row],[text]],CHAR(10)," "))))+1 - LEN(SUBSTITUTE(CLEAN(SUBSTITUTE(ProjTextTable[[#This Row],[text]],CHAR(10)," "))," ",""))</f>
        <v>426</v>
      </c>
      <c r="O199" t="s">
        <v>923</v>
      </c>
      <c r="P199" t="s">
        <v>1258</v>
      </c>
    </row>
    <row r="200" spans="1:16">
      <c r="A200">
        <f t="shared" si="3"/>
        <v>31</v>
      </c>
      <c r="B200" t="s">
        <v>1256</v>
      </c>
      <c r="C200" t="s">
        <v>1257</v>
      </c>
      <c r="D200" t="s">
        <v>951</v>
      </c>
      <c r="E200" t="s">
        <v>948</v>
      </c>
      <c r="F200" t="s">
        <v>1256</v>
      </c>
      <c r="G200" t="s">
        <v>952</v>
      </c>
      <c r="H200" t="s">
        <v>13</v>
      </c>
      <c r="I200" t="s">
        <v>13</v>
      </c>
      <c r="J200" t="s">
        <v>396</v>
      </c>
      <c r="K200" s="30">
        <v>42955.656944444447</v>
      </c>
      <c r="L200" s="8">
        <v>44781.656944444447</v>
      </c>
      <c r="M200" s="21">
        <f>LEN(ProjTextTable[[#This Row],[text]])</f>
        <v>6090</v>
      </c>
      <c r="N200" s="21">
        <f>LEN(TRIM(CLEAN(SUBSTITUTE(ProjTextTable[[#This Row],[text]],CHAR(10)," "))))+1 - LEN(SUBSTITUTE(CLEAN(SUBSTITUTE(ProjTextTable[[#This Row],[text]],CHAR(10)," "))," ",""))</f>
        <v>893</v>
      </c>
      <c r="O200" t="s">
        <v>13</v>
      </c>
      <c r="P200" t="s">
        <v>1259</v>
      </c>
    </row>
    <row r="201" spans="1:16">
      <c r="A201">
        <f t="shared" si="3"/>
        <v>31</v>
      </c>
      <c r="B201" t="s">
        <v>1256</v>
      </c>
      <c r="C201" t="s">
        <v>1257</v>
      </c>
      <c r="D201" t="s">
        <v>194</v>
      </c>
      <c r="E201" t="s">
        <v>543</v>
      </c>
      <c r="F201" t="s">
        <v>1035</v>
      </c>
      <c r="G201" t="s">
        <v>1036</v>
      </c>
      <c r="H201" t="s">
        <v>1037</v>
      </c>
      <c r="I201" t="s">
        <v>95</v>
      </c>
      <c r="J201" t="s">
        <v>176</v>
      </c>
      <c r="K201" s="30">
        <v>42878</v>
      </c>
      <c r="L201" s="8">
        <v>42872.392592592594</v>
      </c>
      <c r="M201" s="21">
        <f>LEN(ProjTextTable[[#This Row],[text]])</f>
        <v>3349</v>
      </c>
      <c r="N201" s="21">
        <f>LEN(TRIM(CLEAN(SUBSTITUTE(ProjTextTable[[#This Row],[text]],CHAR(10)," "))))+1 - LEN(SUBSTITUTE(CLEAN(SUBSTITUTE(ProjTextTable[[#This Row],[text]],CHAR(10)," "))," ",""))</f>
        <v>525</v>
      </c>
      <c r="O201" t="s">
        <v>202</v>
      </c>
      <c r="P201" t="s">
        <v>1260</v>
      </c>
    </row>
    <row r="202" spans="1:16">
      <c r="A202">
        <f t="shared" si="3"/>
        <v>31</v>
      </c>
      <c r="B202" t="s">
        <v>1256</v>
      </c>
      <c r="C202" t="s">
        <v>1257</v>
      </c>
      <c r="D202" t="s">
        <v>194</v>
      </c>
      <c r="E202" t="s">
        <v>543</v>
      </c>
      <c r="F202" t="s">
        <v>1014</v>
      </c>
      <c r="G202" t="s">
        <v>1015</v>
      </c>
      <c r="H202" t="s">
        <v>1016</v>
      </c>
      <c r="I202" t="s">
        <v>95</v>
      </c>
      <c r="J202" t="s">
        <v>176</v>
      </c>
      <c r="K202" s="30">
        <v>42878</v>
      </c>
      <c r="L202" s="8">
        <v>42877.569016203706</v>
      </c>
      <c r="M202" s="21">
        <f>LEN(ProjTextTable[[#This Row],[text]])</f>
        <v>1826</v>
      </c>
      <c r="N202" s="21">
        <f>LEN(TRIM(CLEAN(SUBSTITUTE(ProjTextTable[[#This Row],[text]],CHAR(10)," "))))+1 - LEN(SUBSTITUTE(CLEAN(SUBSTITUTE(ProjTextTable[[#This Row],[text]],CHAR(10)," "))," ",""))</f>
        <v>261</v>
      </c>
      <c r="O202" t="s">
        <v>199</v>
      </c>
      <c r="P202" t="s">
        <v>1261</v>
      </c>
    </row>
    <row r="203" spans="1:16">
      <c r="A203">
        <f t="shared" si="3"/>
        <v>31</v>
      </c>
      <c r="B203" t="s">
        <v>1256</v>
      </c>
      <c r="C203" t="s">
        <v>1257</v>
      </c>
      <c r="D203" t="s">
        <v>194</v>
      </c>
      <c r="E203" t="s">
        <v>543</v>
      </c>
      <c r="F203" t="s">
        <v>1059</v>
      </c>
      <c r="G203" t="s">
        <v>1060</v>
      </c>
      <c r="H203" t="s">
        <v>1061</v>
      </c>
      <c r="I203" t="s">
        <v>95</v>
      </c>
      <c r="J203" t="s">
        <v>176</v>
      </c>
      <c r="K203" s="30">
        <v>42878</v>
      </c>
      <c r="L203" s="8">
        <v>42877.637291666666</v>
      </c>
      <c r="M203" s="21">
        <f>LEN(ProjTextTable[[#This Row],[text]])</f>
        <v>1656</v>
      </c>
      <c r="N203" s="21">
        <f>LEN(TRIM(CLEAN(SUBSTITUTE(ProjTextTable[[#This Row],[text]],CHAR(10)," "))))+1 - LEN(SUBSTITUTE(CLEAN(SUBSTITUTE(ProjTextTable[[#This Row],[text]],CHAR(10)," "))," ",""))</f>
        <v>251</v>
      </c>
      <c r="O203" t="s">
        <v>202</v>
      </c>
      <c r="P203" t="s">
        <v>1262</v>
      </c>
    </row>
    <row r="204" spans="1:16">
      <c r="A204">
        <f t="shared" si="3"/>
        <v>31</v>
      </c>
      <c r="B204" t="s">
        <v>1256</v>
      </c>
      <c r="C204" t="s">
        <v>1257</v>
      </c>
      <c r="D204" t="s">
        <v>196</v>
      </c>
      <c r="E204" t="s">
        <v>948</v>
      </c>
      <c r="F204" t="s">
        <v>13</v>
      </c>
      <c r="G204" t="s">
        <v>13</v>
      </c>
      <c r="H204" t="s">
        <v>13</v>
      </c>
      <c r="K204" s="30"/>
      <c r="L204" s="8">
        <v>42810.042372685188</v>
      </c>
      <c r="M204" s="21">
        <f>LEN(ProjTextTable[[#This Row],[text]])</f>
        <v>4487</v>
      </c>
      <c r="N204" s="21">
        <f>LEN(TRIM(CLEAN(SUBSTITUTE(ProjTextTable[[#This Row],[text]],CHAR(10)," "))))+1 - LEN(SUBSTITUTE(CLEAN(SUBSTITUTE(ProjTextTable[[#This Row],[text]],CHAR(10)," "))," ",""))</f>
        <v>622</v>
      </c>
      <c r="O204" t="s">
        <v>13</v>
      </c>
      <c r="P204" t="s">
        <v>1263</v>
      </c>
    </row>
    <row r="205" spans="1:16">
      <c r="A205">
        <f t="shared" si="3"/>
        <v>32</v>
      </c>
      <c r="B205" t="s">
        <v>1264</v>
      </c>
      <c r="C205" t="s">
        <v>1265</v>
      </c>
      <c r="D205" t="s">
        <v>205</v>
      </c>
      <c r="E205" t="s">
        <v>543</v>
      </c>
      <c r="F205" t="s">
        <v>919</v>
      </c>
      <c r="G205" t="s">
        <v>920</v>
      </c>
      <c r="H205" t="s">
        <v>921</v>
      </c>
      <c r="I205" t="s">
        <v>193</v>
      </c>
      <c r="J205" t="s">
        <v>922</v>
      </c>
      <c r="K205" s="30">
        <v>42871</v>
      </c>
      <c r="L205" s="8">
        <v>42916.815636574072</v>
      </c>
      <c r="M205" s="21">
        <f>LEN(ProjTextTable[[#This Row],[text]])</f>
        <v>1966</v>
      </c>
      <c r="N205" s="21">
        <f>LEN(TRIM(CLEAN(SUBSTITUTE(ProjTextTable[[#This Row],[text]],CHAR(10)," "))))+1 - LEN(SUBSTITUTE(CLEAN(SUBSTITUTE(ProjTextTable[[#This Row],[text]],CHAR(10)," "))," ",""))</f>
        <v>286</v>
      </c>
      <c r="O205" t="s">
        <v>923</v>
      </c>
      <c r="P205" t="s">
        <v>1266</v>
      </c>
    </row>
    <row r="206" spans="1:16">
      <c r="A206">
        <f t="shared" si="3"/>
        <v>32</v>
      </c>
      <c r="B206" t="s">
        <v>1264</v>
      </c>
      <c r="C206" t="s">
        <v>1265</v>
      </c>
      <c r="D206" t="s">
        <v>2</v>
      </c>
      <c r="E206" t="s">
        <v>543</v>
      </c>
      <c r="F206" t="s">
        <v>13</v>
      </c>
      <c r="G206" t="s">
        <v>925</v>
      </c>
      <c r="H206" t="s">
        <v>13</v>
      </c>
      <c r="I206" t="s">
        <v>13</v>
      </c>
      <c r="K206" s="30"/>
      <c r="L206" s="8">
        <v>42951.594155092593</v>
      </c>
      <c r="M206" s="21">
        <f>LEN(ProjTextTable[[#This Row],[text]])</f>
        <v>4592</v>
      </c>
      <c r="N206" s="21">
        <f>LEN(TRIM(CLEAN(SUBSTITUTE(ProjTextTable[[#This Row],[text]],CHAR(10)," "))))+1 - LEN(SUBSTITUTE(CLEAN(SUBSTITUTE(ProjTextTable[[#This Row],[text]],CHAR(10)," "))," ",""))</f>
        <v>679</v>
      </c>
      <c r="O206" t="s">
        <v>13</v>
      </c>
      <c r="P206" t="s">
        <v>926</v>
      </c>
    </row>
    <row r="207" spans="1:16">
      <c r="A207">
        <f t="shared" si="3"/>
        <v>32</v>
      </c>
      <c r="B207" t="s">
        <v>1264</v>
      </c>
      <c r="C207" t="s">
        <v>1265</v>
      </c>
      <c r="D207" t="s">
        <v>194</v>
      </c>
      <c r="E207" t="s">
        <v>543</v>
      </c>
      <c r="F207" t="s">
        <v>989</v>
      </c>
      <c r="G207" t="s">
        <v>990</v>
      </c>
      <c r="H207" t="s">
        <v>991</v>
      </c>
      <c r="I207" t="s">
        <v>95</v>
      </c>
      <c r="J207" t="s">
        <v>176</v>
      </c>
      <c r="K207" s="30">
        <v>42872</v>
      </c>
      <c r="L207" s="8">
        <v>42872.453333333331</v>
      </c>
      <c r="M207" s="21">
        <f>LEN(ProjTextTable[[#This Row],[text]])</f>
        <v>4908</v>
      </c>
      <c r="N207" s="21">
        <f>LEN(TRIM(CLEAN(SUBSTITUTE(ProjTextTable[[#This Row],[text]],CHAR(10)," "))))+1 - LEN(SUBSTITUTE(CLEAN(SUBSTITUTE(ProjTextTable[[#This Row],[text]],CHAR(10)," "))," ",""))</f>
        <v>808</v>
      </c>
      <c r="O207" t="s">
        <v>199</v>
      </c>
      <c r="P207" t="s">
        <v>1267</v>
      </c>
    </row>
    <row r="208" spans="1:16">
      <c r="A208">
        <f t="shared" si="3"/>
        <v>32</v>
      </c>
      <c r="B208" t="s">
        <v>1264</v>
      </c>
      <c r="C208" t="s">
        <v>1265</v>
      </c>
      <c r="D208" t="s">
        <v>194</v>
      </c>
      <c r="E208" t="s">
        <v>543</v>
      </c>
      <c r="F208" t="s">
        <v>1089</v>
      </c>
      <c r="G208" t="s">
        <v>1090</v>
      </c>
      <c r="H208" t="s">
        <v>1091</v>
      </c>
      <c r="I208" t="s">
        <v>95</v>
      </c>
      <c r="J208" t="s">
        <v>176</v>
      </c>
      <c r="K208" s="30">
        <v>42872</v>
      </c>
      <c r="L208" s="8">
        <v>42869.891319444447</v>
      </c>
      <c r="M208" s="21">
        <f>LEN(ProjTextTable[[#This Row],[text]])</f>
        <v>4113</v>
      </c>
      <c r="N208" s="21">
        <f>LEN(TRIM(CLEAN(SUBSTITUTE(ProjTextTable[[#This Row],[text]],CHAR(10)," "))))+1 - LEN(SUBSTITUTE(CLEAN(SUBSTITUTE(ProjTextTable[[#This Row],[text]],CHAR(10)," "))," ",""))</f>
        <v>632</v>
      </c>
      <c r="O208" t="s">
        <v>201</v>
      </c>
      <c r="P208" t="s">
        <v>1268</v>
      </c>
    </row>
    <row r="209" spans="1:16">
      <c r="A209">
        <f t="shared" si="3"/>
        <v>32</v>
      </c>
      <c r="B209" t="s">
        <v>1264</v>
      </c>
      <c r="C209" t="s">
        <v>1265</v>
      </c>
      <c r="D209" t="s">
        <v>194</v>
      </c>
      <c r="E209" t="s">
        <v>543</v>
      </c>
      <c r="F209" t="s">
        <v>1127</v>
      </c>
      <c r="G209" t="s">
        <v>1128</v>
      </c>
      <c r="H209" t="s">
        <v>1129</v>
      </c>
      <c r="I209" t="s">
        <v>95</v>
      </c>
      <c r="J209" t="s">
        <v>176</v>
      </c>
      <c r="K209" s="30">
        <v>42872</v>
      </c>
      <c r="L209" s="8">
        <v>42870.662453703706</v>
      </c>
      <c r="M209" s="21">
        <f>LEN(ProjTextTable[[#This Row],[text]])</f>
        <v>2221</v>
      </c>
      <c r="N209" s="21">
        <f>LEN(TRIM(CLEAN(SUBSTITUTE(ProjTextTable[[#This Row],[text]],CHAR(10)," "))))+1 - LEN(SUBSTITUTE(CLEAN(SUBSTITUTE(ProjTextTable[[#This Row],[text]],CHAR(10)," "))," ",""))</f>
        <v>349</v>
      </c>
      <c r="O209" t="s">
        <v>201</v>
      </c>
      <c r="P209" t="s">
        <v>1269</v>
      </c>
    </row>
    <row r="210" spans="1:16">
      <c r="A210">
        <f t="shared" si="3"/>
        <v>32</v>
      </c>
      <c r="B210" t="s">
        <v>1264</v>
      </c>
      <c r="C210" t="s">
        <v>1265</v>
      </c>
      <c r="D210" t="s">
        <v>196</v>
      </c>
      <c r="E210" t="s">
        <v>543</v>
      </c>
      <c r="F210" t="s">
        <v>13</v>
      </c>
      <c r="G210" t="s">
        <v>13</v>
      </c>
      <c r="H210" t="s">
        <v>13</v>
      </c>
      <c r="K210" s="30"/>
      <c r="L210" s="8">
        <v>42810.042372685188</v>
      </c>
      <c r="M210" s="21">
        <f>LEN(ProjTextTable[[#This Row],[text]])</f>
        <v>2932</v>
      </c>
      <c r="N210" s="21">
        <f>LEN(TRIM(CLEAN(SUBSTITUTE(ProjTextTable[[#This Row],[text]],CHAR(10)," "))))+1 - LEN(SUBSTITUTE(CLEAN(SUBSTITUTE(ProjTextTable[[#This Row],[text]],CHAR(10)," "))," ",""))</f>
        <v>452</v>
      </c>
      <c r="O210" t="s">
        <v>13</v>
      </c>
      <c r="P210" t="s">
        <v>1270</v>
      </c>
    </row>
    <row r="211" spans="1:16">
      <c r="A211">
        <f t="shared" si="3"/>
        <v>33</v>
      </c>
      <c r="B211" t="s">
        <v>1271</v>
      </c>
      <c r="C211" t="s">
        <v>1272</v>
      </c>
      <c r="D211" t="s">
        <v>205</v>
      </c>
      <c r="E211" t="s">
        <v>543</v>
      </c>
      <c r="F211" t="s">
        <v>919</v>
      </c>
      <c r="G211" t="s">
        <v>920</v>
      </c>
      <c r="H211" t="s">
        <v>974</v>
      </c>
      <c r="I211" t="s">
        <v>200</v>
      </c>
      <c r="J211" t="s">
        <v>546</v>
      </c>
      <c r="K211" s="30">
        <v>42871</v>
      </c>
      <c r="L211" s="8"/>
      <c r="M211" s="21">
        <f>LEN(ProjTextTable[[#This Row],[text]])</f>
        <v>1</v>
      </c>
      <c r="N211" s="21">
        <f>LEN(TRIM(CLEAN(SUBSTITUTE(ProjTextTable[[#This Row],[text]],CHAR(10)," "))))+1 - LEN(SUBSTITUTE(CLEAN(SUBSTITUTE(ProjTextTable[[#This Row],[text]],CHAR(10)," "))," ",""))</f>
        <v>1</v>
      </c>
      <c r="O211" t="s">
        <v>975</v>
      </c>
      <c r="P211" t="s">
        <v>13</v>
      </c>
    </row>
    <row r="212" spans="1:16">
      <c r="A212">
        <f t="shared" si="3"/>
        <v>33</v>
      </c>
      <c r="B212" t="s">
        <v>1271</v>
      </c>
      <c r="C212" t="s">
        <v>1272</v>
      </c>
      <c r="D212" t="s">
        <v>951</v>
      </c>
      <c r="E212" t="s">
        <v>540</v>
      </c>
      <c r="F212" t="s">
        <v>1271</v>
      </c>
      <c r="G212" t="s">
        <v>976</v>
      </c>
      <c r="H212" t="s">
        <v>13</v>
      </c>
      <c r="I212" t="s">
        <v>13</v>
      </c>
      <c r="J212" t="s">
        <v>396</v>
      </c>
      <c r="K212" s="30">
        <v>42955.729166666664</v>
      </c>
      <c r="L212" s="8">
        <v>44781.729166666664</v>
      </c>
      <c r="M212" s="21">
        <f>LEN(ProjTextTable[[#This Row],[text]])</f>
        <v>2107</v>
      </c>
      <c r="N212" s="21">
        <f>LEN(TRIM(CLEAN(SUBSTITUTE(ProjTextTable[[#This Row],[text]],CHAR(10)," "))))+1 - LEN(SUBSTITUTE(CLEAN(SUBSTITUTE(ProjTextTable[[#This Row],[text]],CHAR(10)," "))," ",""))</f>
        <v>332</v>
      </c>
      <c r="O212" t="s">
        <v>13</v>
      </c>
      <c r="P212" t="s">
        <v>977</v>
      </c>
    </row>
    <row r="213" spans="1:16">
      <c r="A213">
        <f t="shared" si="3"/>
        <v>33</v>
      </c>
      <c r="B213" t="s">
        <v>1271</v>
      </c>
      <c r="C213" t="s">
        <v>1272</v>
      </c>
      <c r="D213" t="s">
        <v>2</v>
      </c>
      <c r="E213" t="s">
        <v>540</v>
      </c>
      <c r="F213" t="s">
        <v>13</v>
      </c>
      <c r="G213" t="s">
        <v>925</v>
      </c>
      <c r="H213" t="s">
        <v>13</v>
      </c>
      <c r="I213" t="s">
        <v>13</v>
      </c>
      <c r="K213" s="30"/>
      <c r="L213" s="8">
        <v>42914.640648148146</v>
      </c>
      <c r="M213" s="21">
        <f>LEN(ProjTextTable[[#This Row],[text]])</f>
        <v>2065</v>
      </c>
      <c r="N213" s="21">
        <f>LEN(TRIM(CLEAN(SUBSTITUTE(ProjTextTable[[#This Row],[text]],CHAR(10)," "))))+1 - LEN(SUBSTITUTE(CLEAN(SUBSTITUTE(ProjTextTable[[#This Row],[text]],CHAR(10)," "))," ",""))</f>
        <v>304</v>
      </c>
      <c r="O213" t="s">
        <v>13</v>
      </c>
      <c r="P213" t="s">
        <v>1273</v>
      </c>
    </row>
    <row r="214" spans="1:16">
      <c r="A214">
        <f t="shared" si="3"/>
        <v>33</v>
      </c>
      <c r="B214" t="s">
        <v>1271</v>
      </c>
      <c r="C214" t="s">
        <v>1272</v>
      </c>
      <c r="D214" t="s">
        <v>194</v>
      </c>
      <c r="E214" t="s">
        <v>543</v>
      </c>
      <c r="F214" t="s">
        <v>927</v>
      </c>
      <c r="G214" t="s">
        <v>928</v>
      </c>
      <c r="H214" t="s">
        <v>929</v>
      </c>
      <c r="I214" t="s">
        <v>95</v>
      </c>
      <c r="J214" t="s">
        <v>176</v>
      </c>
      <c r="K214" s="30">
        <v>42872</v>
      </c>
      <c r="L214" s="8">
        <v>42866.631793981483</v>
      </c>
      <c r="M214" s="21">
        <f>LEN(ProjTextTable[[#This Row],[text]])</f>
        <v>3749</v>
      </c>
      <c r="N214" s="21">
        <f>LEN(TRIM(CLEAN(SUBSTITUTE(ProjTextTable[[#This Row],[text]],CHAR(10)," "))))+1 - LEN(SUBSTITUTE(CLEAN(SUBSTITUTE(ProjTextTable[[#This Row],[text]],CHAR(10)," "))," ",""))</f>
        <v>571</v>
      </c>
      <c r="O214" t="s">
        <v>201</v>
      </c>
      <c r="P214" t="s">
        <v>1274</v>
      </c>
    </row>
    <row r="215" spans="1:16">
      <c r="A215">
        <f t="shared" si="3"/>
        <v>33</v>
      </c>
      <c r="B215" t="s">
        <v>1271</v>
      </c>
      <c r="C215" t="s">
        <v>1272</v>
      </c>
      <c r="D215" t="s">
        <v>194</v>
      </c>
      <c r="E215" t="s">
        <v>543</v>
      </c>
      <c r="F215" t="s">
        <v>1089</v>
      </c>
      <c r="G215" t="s">
        <v>1090</v>
      </c>
      <c r="H215" t="s">
        <v>1091</v>
      </c>
      <c r="I215" t="s">
        <v>95</v>
      </c>
      <c r="J215" t="s">
        <v>176</v>
      </c>
      <c r="K215" s="30">
        <v>42872</v>
      </c>
      <c r="L215" s="8">
        <v>42872.490208333336</v>
      </c>
      <c r="M215" s="21">
        <f>LEN(ProjTextTable[[#This Row],[text]])</f>
        <v>4004</v>
      </c>
      <c r="N215" s="21">
        <f>LEN(TRIM(CLEAN(SUBSTITUTE(ProjTextTable[[#This Row],[text]],CHAR(10)," "))))+1 - LEN(SUBSTITUTE(CLEAN(SUBSTITUTE(ProjTextTable[[#This Row],[text]],CHAR(10)," "))," ",""))</f>
        <v>618</v>
      </c>
      <c r="O215" t="s">
        <v>201</v>
      </c>
      <c r="P215" t="s">
        <v>1275</v>
      </c>
    </row>
    <row r="216" spans="1:16">
      <c r="A216">
        <f t="shared" si="3"/>
        <v>33</v>
      </c>
      <c r="B216" t="s">
        <v>1271</v>
      </c>
      <c r="C216" t="s">
        <v>1272</v>
      </c>
      <c r="D216" t="s">
        <v>194</v>
      </c>
      <c r="E216" t="s">
        <v>543</v>
      </c>
      <c r="F216" t="s">
        <v>993</v>
      </c>
      <c r="G216" t="s">
        <v>994</v>
      </c>
      <c r="H216" t="s">
        <v>995</v>
      </c>
      <c r="I216" t="s">
        <v>95</v>
      </c>
      <c r="J216" t="s">
        <v>176</v>
      </c>
      <c r="K216" s="30">
        <v>42872</v>
      </c>
      <c r="L216" s="8">
        <v>42863.125150462962</v>
      </c>
      <c r="M216" s="21">
        <f>LEN(ProjTextTable[[#This Row],[text]])</f>
        <v>2522</v>
      </c>
      <c r="N216" s="21">
        <f>LEN(TRIM(CLEAN(SUBSTITUTE(ProjTextTable[[#This Row],[text]],CHAR(10)," "))))+1 - LEN(SUBSTITUTE(CLEAN(SUBSTITUTE(ProjTextTable[[#This Row],[text]],CHAR(10)," "))," ",""))</f>
        <v>385</v>
      </c>
      <c r="O216" t="s">
        <v>201</v>
      </c>
      <c r="P216" t="s">
        <v>1276</v>
      </c>
    </row>
    <row r="217" spans="1:16">
      <c r="A217">
        <f t="shared" si="3"/>
        <v>33</v>
      </c>
      <c r="B217" t="s">
        <v>1271</v>
      </c>
      <c r="C217" t="s">
        <v>1272</v>
      </c>
      <c r="D217" t="s">
        <v>196</v>
      </c>
      <c r="E217" t="s">
        <v>540</v>
      </c>
      <c r="F217" t="s">
        <v>13</v>
      </c>
      <c r="G217" t="s">
        <v>13</v>
      </c>
      <c r="H217" t="s">
        <v>13</v>
      </c>
      <c r="K217" s="30"/>
      <c r="L217" s="8">
        <v>42810.042372685188</v>
      </c>
      <c r="M217" s="21">
        <f>LEN(ProjTextTable[[#This Row],[text]])</f>
        <v>3821</v>
      </c>
      <c r="N217" s="21">
        <f>LEN(TRIM(CLEAN(SUBSTITUTE(ProjTextTable[[#This Row],[text]],CHAR(10)," "))))+1 - LEN(SUBSTITUTE(CLEAN(SUBSTITUTE(ProjTextTable[[#This Row],[text]],CHAR(10)," "))," ",""))</f>
        <v>533</v>
      </c>
      <c r="O217" t="s">
        <v>13</v>
      </c>
      <c r="P217" t="s">
        <v>1277</v>
      </c>
    </row>
    <row r="218" spans="1:16">
      <c r="A218">
        <f t="shared" si="3"/>
        <v>34</v>
      </c>
      <c r="B218" t="s">
        <v>1278</v>
      </c>
      <c r="C218" t="s">
        <v>1279</v>
      </c>
      <c r="D218" t="s">
        <v>205</v>
      </c>
      <c r="E218" t="s">
        <v>543</v>
      </c>
      <c r="F218" t="s">
        <v>919</v>
      </c>
      <c r="G218" t="s">
        <v>920</v>
      </c>
      <c r="H218" t="s">
        <v>974</v>
      </c>
      <c r="I218" t="s">
        <v>200</v>
      </c>
      <c r="J218" t="s">
        <v>546</v>
      </c>
      <c r="K218" s="30">
        <v>42871</v>
      </c>
      <c r="L218" s="8"/>
      <c r="M218" s="21">
        <f>LEN(ProjTextTable[[#This Row],[text]])</f>
        <v>1</v>
      </c>
      <c r="N218" s="21">
        <f>LEN(TRIM(CLEAN(SUBSTITUTE(ProjTextTable[[#This Row],[text]],CHAR(10)," "))))+1 - LEN(SUBSTITUTE(CLEAN(SUBSTITUTE(ProjTextTable[[#This Row],[text]],CHAR(10)," "))," ",""))</f>
        <v>1</v>
      </c>
      <c r="O218" t="s">
        <v>975</v>
      </c>
      <c r="P218" t="s">
        <v>13</v>
      </c>
    </row>
    <row r="219" spans="1:16">
      <c r="A219">
        <f t="shared" si="3"/>
        <v>34</v>
      </c>
      <c r="B219" t="s">
        <v>1278</v>
      </c>
      <c r="C219" t="s">
        <v>1279</v>
      </c>
      <c r="D219" t="s">
        <v>951</v>
      </c>
      <c r="E219" t="s">
        <v>540</v>
      </c>
      <c r="F219" t="s">
        <v>1278</v>
      </c>
      <c r="G219" t="s">
        <v>976</v>
      </c>
      <c r="H219" t="s">
        <v>13</v>
      </c>
      <c r="I219" t="s">
        <v>13</v>
      </c>
      <c r="J219" t="s">
        <v>396</v>
      </c>
      <c r="K219" s="30">
        <v>42955.702777777777</v>
      </c>
      <c r="L219" s="8">
        <v>44781.702777777777</v>
      </c>
      <c r="M219" s="21">
        <f>LEN(ProjTextTable[[#This Row],[text]])</f>
        <v>2107</v>
      </c>
      <c r="N219" s="21">
        <f>LEN(TRIM(CLEAN(SUBSTITUTE(ProjTextTable[[#This Row],[text]],CHAR(10)," "))))+1 - LEN(SUBSTITUTE(CLEAN(SUBSTITUTE(ProjTextTable[[#This Row],[text]],CHAR(10)," "))," ",""))</f>
        <v>332</v>
      </c>
      <c r="O219" t="s">
        <v>13</v>
      </c>
      <c r="P219" t="s">
        <v>977</v>
      </c>
    </row>
    <row r="220" spans="1:16">
      <c r="A220">
        <f t="shared" si="3"/>
        <v>34</v>
      </c>
      <c r="B220" t="s">
        <v>1278</v>
      </c>
      <c r="C220" t="s">
        <v>1279</v>
      </c>
      <c r="D220" t="s">
        <v>2</v>
      </c>
      <c r="E220" t="s">
        <v>540</v>
      </c>
      <c r="F220" t="s">
        <v>13</v>
      </c>
      <c r="G220" t="s">
        <v>925</v>
      </c>
      <c r="H220" t="s">
        <v>13</v>
      </c>
      <c r="I220" t="s">
        <v>13</v>
      </c>
      <c r="K220" s="30"/>
      <c r="L220" s="8">
        <v>42954.60597222222</v>
      </c>
      <c r="M220" s="21">
        <f>LEN(ProjTextTable[[#This Row],[text]])</f>
        <v>1949</v>
      </c>
      <c r="N220" s="21">
        <f>LEN(TRIM(CLEAN(SUBSTITUTE(ProjTextTable[[#This Row],[text]],CHAR(10)," "))))+1 - LEN(SUBSTITUTE(CLEAN(SUBSTITUTE(ProjTextTable[[#This Row],[text]],CHAR(10)," "))," ",""))</f>
        <v>287</v>
      </c>
      <c r="O220" t="s">
        <v>13</v>
      </c>
      <c r="P220" t="s">
        <v>1280</v>
      </c>
    </row>
    <row r="221" spans="1:16">
      <c r="A221">
        <f t="shared" si="3"/>
        <v>34</v>
      </c>
      <c r="B221" t="s">
        <v>1278</v>
      </c>
      <c r="C221" t="s">
        <v>1279</v>
      </c>
      <c r="D221" t="s">
        <v>194</v>
      </c>
      <c r="E221" t="s">
        <v>543</v>
      </c>
      <c r="F221" t="s">
        <v>927</v>
      </c>
      <c r="G221" t="s">
        <v>928</v>
      </c>
      <c r="H221" t="s">
        <v>929</v>
      </c>
      <c r="I221" t="s">
        <v>95</v>
      </c>
      <c r="J221" t="s">
        <v>176</v>
      </c>
      <c r="K221" s="30">
        <v>42872</v>
      </c>
      <c r="L221" s="8">
        <v>42866.635370370372</v>
      </c>
      <c r="M221" s="21">
        <f>LEN(ProjTextTable[[#This Row],[text]])</f>
        <v>2564</v>
      </c>
      <c r="N221" s="21">
        <f>LEN(TRIM(CLEAN(SUBSTITUTE(ProjTextTable[[#This Row],[text]],CHAR(10)," "))))+1 - LEN(SUBSTITUTE(CLEAN(SUBSTITUTE(ProjTextTable[[#This Row],[text]],CHAR(10)," "))," ",""))</f>
        <v>388</v>
      </c>
      <c r="O221" t="s">
        <v>195</v>
      </c>
      <c r="P221" t="s">
        <v>1281</v>
      </c>
    </row>
    <row r="222" spans="1:16">
      <c r="A222">
        <f t="shared" si="3"/>
        <v>34</v>
      </c>
      <c r="B222" t="s">
        <v>1278</v>
      </c>
      <c r="C222" t="s">
        <v>1279</v>
      </c>
      <c r="D222" t="s">
        <v>194</v>
      </c>
      <c r="E222" t="s">
        <v>543</v>
      </c>
      <c r="F222" t="s">
        <v>993</v>
      </c>
      <c r="G222" t="s">
        <v>994</v>
      </c>
      <c r="H222" t="s">
        <v>995</v>
      </c>
      <c r="I222" t="s">
        <v>95</v>
      </c>
      <c r="J222" t="s">
        <v>176</v>
      </c>
      <c r="K222" s="30">
        <v>42872</v>
      </c>
      <c r="L222" s="8">
        <v>42864.125509259262</v>
      </c>
      <c r="M222" s="21">
        <f>LEN(ProjTextTable[[#This Row],[text]])</f>
        <v>2727</v>
      </c>
      <c r="N222" s="21">
        <f>LEN(TRIM(CLEAN(SUBSTITUTE(ProjTextTable[[#This Row],[text]],CHAR(10)," "))))+1 - LEN(SUBSTITUTE(CLEAN(SUBSTITUTE(ProjTextTable[[#This Row],[text]],CHAR(10)," "))," ",""))</f>
        <v>421</v>
      </c>
      <c r="O222" t="s">
        <v>212</v>
      </c>
      <c r="P222" t="s">
        <v>1282</v>
      </c>
    </row>
    <row r="223" spans="1:16">
      <c r="A223">
        <f t="shared" si="3"/>
        <v>34</v>
      </c>
      <c r="B223" t="s">
        <v>1278</v>
      </c>
      <c r="C223" t="s">
        <v>1279</v>
      </c>
      <c r="D223" t="s">
        <v>194</v>
      </c>
      <c r="E223" t="s">
        <v>543</v>
      </c>
      <c r="F223" t="s">
        <v>1105</v>
      </c>
      <c r="G223" t="s">
        <v>1106</v>
      </c>
      <c r="H223" t="s">
        <v>1107</v>
      </c>
      <c r="I223" t="s">
        <v>95</v>
      </c>
      <c r="J223" t="s">
        <v>176</v>
      </c>
      <c r="K223" s="30">
        <v>42872</v>
      </c>
      <c r="L223" s="8">
        <v>42867.839629629627</v>
      </c>
      <c r="M223" s="21">
        <f>LEN(ProjTextTable[[#This Row],[text]])</f>
        <v>2759</v>
      </c>
      <c r="N223" s="21">
        <f>LEN(TRIM(CLEAN(SUBSTITUTE(ProjTextTable[[#This Row],[text]],CHAR(10)," "))))+1 - LEN(SUBSTITUTE(CLEAN(SUBSTITUTE(ProjTextTable[[#This Row],[text]],CHAR(10)," "))," ",""))</f>
        <v>422</v>
      </c>
      <c r="O223" t="s">
        <v>212</v>
      </c>
      <c r="P223" t="s">
        <v>1283</v>
      </c>
    </row>
    <row r="224" spans="1:16">
      <c r="A224">
        <f t="shared" si="3"/>
        <v>34</v>
      </c>
      <c r="B224" t="s">
        <v>1278</v>
      </c>
      <c r="C224" t="s">
        <v>1279</v>
      </c>
      <c r="D224" t="s">
        <v>196</v>
      </c>
      <c r="E224" t="s">
        <v>540</v>
      </c>
      <c r="F224" t="s">
        <v>13</v>
      </c>
      <c r="G224" t="s">
        <v>13</v>
      </c>
      <c r="H224" t="s">
        <v>13</v>
      </c>
      <c r="K224" s="30"/>
      <c r="L224" s="8">
        <v>42810.042384259257</v>
      </c>
      <c r="M224" s="21">
        <f>LEN(ProjTextTable[[#This Row],[text]])</f>
        <v>4031</v>
      </c>
      <c r="N224" s="21">
        <f>LEN(TRIM(CLEAN(SUBSTITUTE(ProjTextTable[[#This Row],[text]],CHAR(10)," "))))+1 - LEN(SUBSTITUTE(CLEAN(SUBSTITUTE(ProjTextTable[[#This Row],[text]],CHAR(10)," "))," ",""))</f>
        <v>586</v>
      </c>
      <c r="O224" t="s">
        <v>13</v>
      </c>
      <c r="P224" t="s">
        <v>1284</v>
      </c>
    </row>
    <row r="225" spans="1:16">
      <c r="A225">
        <f t="shared" si="3"/>
        <v>35</v>
      </c>
      <c r="B225" t="s">
        <v>1285</v>
      </c>
      <c r="C225" t="s">
        <v>1286</v>
      </c>
      <c r="D225" t="s">
        <v>205</v>
      </c>
      <c r="E225" t="s">
        <v>942</v>
      </c>
      <c r="F225" t="s">
        <v>943</v>
      </c>
      <c r="G225" t="s">
        <v>944</v>
      </c>
      <c r="H225" t="s">
        <v>974</v>
      </c>
      <c r="I225" t="s">
        <v>200</v>
      </c>
      <c r="K225" s="30">
        <v>42877</v>
      </c>
      <c r="L225" s="8"/>
      <c r="M225" s="21">
        <f>LEN(ProjTextTable[[#This Row],[text]])</f>
        <v>1</v>
      </c>
      <c r="N225" s="21">
        <f>LEN(TRIM(CLEAN(SUBSTITUTE(ProjTextTable[[#This Row],[text]],CHAR(10)," "))))+1 - LEN(SUBSTITUTE(CLEAN(SUBSTITUTE(ProjTextTable[[#This Row],[text]],CHAR(10)," "))," ",""))</f>
        <v>1</v>
      </c>
      <c r="O225" t="s">
        <v>975</v>
      </c>
      <c r="P225" t="s">
        <v>13</v>
      </c>
    </row>
    <row r="226" spans="1:16">
      <c r="A226">
        <f t="shared" si="3"/>
        <v>35</v>
      </c>
      <c r="B226" t="s">
        <v>1285</v>
      </c>
      <c r="C226" t="s">
        <v>1286</v>
      </c>
      <c r="D226" t="s">
        <v>951</v>
      </c>
      <c r="E226" t="s">
        <v>948</v>
      </c>
      <c r="F226" t="s">
        <v>1285</v>
      </c>
      <c r="G226" t="s">
        <v>952</v>
      </c>
      <c r="H226" t="s">
        <v>13</v>
      </c>
      <c r="I226" t="s">
        <v>13</v>
      </c>
      <c r="J226" t="s">
        <v>396</v>
      </c>
      <c r="K226" s="30">
        <v>42955.660416666666</v>
      </c>
      <c r="L226" s="8">
        <v>44781.660416666666</v>
      </c>
      <c r="M226" s="21">
        <f>LEN(ProjTextTable[[#This Row],[text]])</f>
        <v>6371</v>
      </c>
      <c r="N226" s="21">
        <f>LEN(TRIM(CLEAN(SUBSTITUTE(ProjTextTable[[#This Row],[text]],CHAR(10)," "))))+1 - LEN(SUBSTITUTE(CLEAN(SUBSTITUTE(ProjTextTable[[#This Row],[text]],CHAR(10)," "))," ",""))</f>
        <v>938</v>
      </c>
      <c r="O226" t="s">
        <v>13</v>
      </c>
      <c r="P226" t="s">
        <v>1287</v>
      </c>
    </row>
    <row r="227" spans="1:16">
      <c r="A227">
        <f t="shared" si="3"/>
        <v>35</v>
      </c>
      <c r="B227" t="s">
        <v>1285</v>
      </c>
      <c r="C227" t="s">
        <v>1286</v>
      </c>
      <c r="D227" t="s">
        <v>194</v>
      </c>
      <c r="E227" t="s">
        <v>543</v>
      </c>
      <c r="F227" t="s">
        <v>1010</v>
      </c>
      <c r="G227" t="s">
        <v>1011</v>
      </c>
      <c r="H227" t="s">
        <v>1012</v>
      </c>
      <c r="I227" t="s">
        <v>95</v>
      </c>
      <c r="J227" t="s">
        <v>176</v>
      </c>
      <c r="K227" s="30">
        <v>42878</v>
      </c>
      <c r="L227" s="8">
        <v>42876.834155092591</v>
      </c>
      <c r="M227" s="21">
        <f>LEN(ProjTextTable[[#This Row],[text]])</f>
        <v>2000</v>
      </c>
      <c r="N227" s="21">
        <f>LEN(TRIM(CLEAN(SUBSTITUTE(ProjTextTable[[#This Row],[text]],CHAR(10)," "))))+1 - LEN(SUBSTITUTE(CLEAN(SUBSTITUTE(ProjTextTable[[#This Row],[text]],CHAR(10)," "))," ",""))</f>
        <v>301</v>
      </c>
      <c r="O227" t="s">
        <v>201</v>
      </c>
      <c r="P227" t="s">
        <v>1288</v>
      </c>
    </row>
    <row r="228" spans="1:16">
      <c r="A228">
        <f t="shared" si="3"/>
        <v>35</v>
      </c>
      <c r="B228" t="s">
        <v>1285</v>
      </c>
      <c r="C228" t="s">
        <v>1286</v>
      </c>
      <c r="D228" t="s">
        <v>194</v>
      </c>
      <c r="E228" t="s">
        <v>543</v>
      </c>
      <c r="F228" t="s">
        <v>1014</v>
      </c>
      <c r="G228" t="s">
        <v>1015</v>
      </c>
      <c r="H228" t="s">
        <v>1016</v>
      </c>
      <c r="I228" t="s">
        <v>95</v>
      </c>
      <c r="J228" t="s">
        <v>176</v>
      </c>
      <c r="K228" s="30">
        <v>42878</v>
      </c>
      <c r="L228" s="8">
        <v>42877.296736111108</v>
      </c>
      <c r="M228" s="21">
        <f>LEN(ProjTextTable[[#This Row],[text]])</f>
        <v>3696</v>
      </c>
      <c r="N228" s="21">
        <f>LEN(TRIM(CLEAN(SUBSTITUTE(ProjTextTable[[#This Row],[text]],CHAR(10)," "))))+1 - LEN(SUBSTITUTE(CLEAN(SUBSTITUTE(ProjTextTable[[#This Row],[text]],CHAR(10)," "))," ",""))</f>
        <v>560</v>
      </c>
      <c r="O228" t="s">
        <v>195</v>
      </c>
      <c r="P228" t="s">
        <v>1289</v>
      </c>
    </row>
    <row r="229" spans="1:16">
      <c r="A229">
        <f t="shared" si="3"/>
        <v>35</v>
      </c>
      <c r="B229" t="s">
        <v>1285</v>
      </c>
      <c r="C229" t="s">
        <v>1286</v>
      </c>
      <c r="D229" t="s">
        <v>194</v>
      </c>
      <c r="E229" t="s">
        <v>543</v>
      </c>
      <c r="F229" t="s">
        <v>1059</v>
      </c>
      <c r="G229" t="s">
        <v>1060</v>
      </c>
      <c r="H229" t="s">
        <v>1061</v>
      </c>
      <c r="I229" t="s">
        <v>95</v>
      </c>
      <c r="J229" t="s">
        <v>176</v>
      </c>
      <c r="K229" s="30">
        <v>42878</v>
      </c>
      <c r="L229" s="8">
        <v>42876.884629629632</v>
      </c>
      <c r="M229" s="21">
        <f>LEN(ProjTextTable[[#This Row],[text]])</f>
        <v>1490</v>
      </c>
      <c r="N229" s="21">
        <f>LEN(TRIM(CLEAN(SUBSTITUTE(ProjTextTable[[#This Row],[text]],CHAR(10)," "))))+1 - LEN(SUBSTITUTE(CLEAN(SUBSTITUTE(ProjTextTable[[#This Row],[text]],CHAR(10)," "))," ",""))</f>
        <v>209</v>
      </c>
      <c r="O229" t="s">
        <v>203</v>
      </c>
      <c r="P229" t="s">
        <v>1290</v>
      </c>
    </row>
    <row r="230" spans="1:16">
      <c r="A230">
        <f t="shared" si="3"/>
        <v>35</v>
      </c>
      <c r="B230" t="s">
        <v>1285</v>
      </c>
      <c r="C230" t="s">
        <v>1286</v>
      </c>
      <c r="D230" t="s">
        <v>196</v>
      </c>
      <c r="E230" t="s">
        <v>948</v>
      </c>
      <c r="F230" t="s">
        <v>13</v>
      </c>
      <c r="G230" t="s">
        <v>13</v>
      </c>
      <c r="H230" t="s">
        <v>13</v>
      </c>
      <c r="K230" s="30"/>
      <c r="L230" s="8">
        <v>42810.042384259257</v>
      </c>
      <c r="M230" s="21">
        <f>LEN(ProjTextTable[[#This Row],[text]])</f>
        <v>4377</v>
      </c>
      <c r="N230" s="21">
        <f>LEN(TRIM(CLEAN(SUBSTITUTE(ProjTextTable[[#This Row],[text]],CHAR(10)," "))))+1 - LEN(SUBSTITUTE(CLEAN(SUBSTITUTE(ProjTextTable[[#This Row],[text]],CHAR(10)," "))," ",""))</f>
        <v>621</v>
      </c>
      <c r="O230" t="s">
        <v>13</v>
      </c>
      <c r="P230" t="s">
        <v>1291</v>
      </c>
    </row>
    <row r="231" spans="1:16">
      <c r="A231">
        <f t="shared" si="3"/>
        <v>36</v>
      </c>
      <c r="B231" t="s">
        <v>1292</v>
      </c>
      <c r="C231" t="s">
        <v>1293</v>
      </c>
      <c r="D231" t="s">
        <v>205</v>
      </c>
      <c r="E231" t="s">
        <v>942</v>
      </c>
      <c r="F231" t="s">
        <v>943</v>
      </c>
      <c r="G231" t="s">
        <v>944</v>
      </c>
      <c r="H231" t="s">
        <v>921</v>
      </c>
      <c r="I231" t="s">
        <v>193</v>
      </c>
      <c r="J231" t="s">
        <v>396</v>
      </c>
      <c r="K231" s="30">
        <v>42877</v>
      </c>
      <c r="L231" s="8">
        <v>42916.815636574072</v>
      </c>
      <c r="M231" s="21">
        <f>LEN(ProjTextTable[[#This Row],[text]])</f>
        <v>3083</v>
      </c>
      <c r="N231" s="21">
        <f>LEN(TRIM(CLEAN(SUBSTITUTE(ProjTextTable[[#This Row],[text]],CHAR(10)," "))))+1 - LEN(SUBSTITUTE(CLEAN(SUBSTITUTE(ProjTextTable[[#This Row],[text]],CHAR(10)," "))," ",""))</f>
        <v>470</v>
      </c>
      <c r="O231" t="s">
        <v>923</v>
      </c>
      <c r="P231" t="s">
        <v>1294</v>
      </c>
    </row>
    <row r="232" spans="1:16">
      <c r="A232">
        <f t="shared" si="3"/>
        <v>36</v>
      </c>
      <c r="B232" t="s">
        <v>1292</v>
      </c>
      <c r="C232" t="s">
        <v>1293</v>
      </c>
      <c r="D232" t="s">
        <v>951</v>
      </c>
      <c r="E232" t="s">
        <v>948</v>
      </c>
      <c r="F232" t="s">
        <v>1292</v>
      </c>
      <c r="G232" t="s">
        <v>952</v>
      </c>
      <c r="H232" t="s">
        <v>13</v>
      </c>
      <c r="I232" t="s">
        <v>13</v>
      </c>
      <c r="J232" t="s">
        <v>396</v>
      </c>
      <c r="K232" s="30">
        <v>42955.663194444445</v>
      </c>
      <c r="L232" s="8">
        <v>44781.663194444445</v>
      </c>
      <c r="M232" s="21">
        <f>LEN(ProjTextTable[[#This Row],[text]])</f>
        <v>7274</v>
      </c>
      <c r="N232" s="21">
        <f>LEN(TRIM(CLEAN(SUBSTITUTE(ProjTextTable[[#This Row],[text]],CHAR(10)," "))))+1 - LEN(SUBSTITUTE(CLEAN(SUBSTITUTE(ProjTextTable[[#This Row],[text]],CHAR(10)," "))," ",""))</f>
        <v>1076</v>
      </c>
      <c r="O232" t="s">
        <v>13</v>
      </c>
      <c r="P232" t="s">
        <v>1295</v>
      </c>
    </row>
    <row r="233" spans="1:16">
      <c r="A233">
        <f t="shared" si="3"/>
        <v>36</v>
      </c>
      <c r="B233" t="s">
        <v>1292</v>
      </c>
      <c r="C233" t="s">
        <v>1293</v>
      </c>
      <c r="D233" t="s">
        <v>194</v>
      </c>
      <c r="E233" t="s">
        <v>543</v>
      </c>
      <c r="F233" t="s">
        <v>1010</v>
      </c>
      <c r="G233" t="s">
        <v>1011</v>
      </c>
      <c r="H233" t="s">
        <v>1012</v>
      </c>
      <c r="I233" t="s">
        <v>95</v>
      </c>
      <c r="J233" t="s">
        <v>176</v>
      </c>
      <c r="K233" s="30">
        <v>42878</v>
      </c>
      <c r="L233" s="8">
        <v>42877.684178240743</v>
      </c>
      <c r="M233" s="21">
        <f>LEN(ProjTextTable[[#This Row],[text]])</f>
        <v>2108</v>
      </c>
      <c r="N233" s="21">
        <f>LEN(TRIM(CLEAN(SUBSTITUTE(ProjTextTable[[#This Row],[text]],CHAR(10)," "))))+1 - LEN(SUBSTITUTE(CLEAN(SUBSTITUTE(ProjTextTable[[#This Row],[text]],CHAR(10)," "))," ",""))</f>
        <v>294</v>
      </c>
      <c r="O233" t="s">
        <v>209</v>
      </c>
      <c r="P233" t="s">
        <v>1296</v>
      </c>
    </row>
    <row r="234" spans="1:16">
      <c r="A234">
        <f t="shared" si="3"/>
        <v>36</v>
      </c>
      <c r="B234" t="s">
        <v>1292</v>
      </c>
      <c r="C234" t="s">
        <v>1293</v>
      </c>
      <c r="D234" t="s">
        <v>194</v>
      </c>
      <c r="E234" t="s">
        <v>543</v>
      </c>
      <c r="F234" t="s">
        <v>1014</v>
      </c>
      <c r="G234" t="s">
        <v>1015</v>
      </c>
      <c r="H234" t="s">
        <v>1016</v>
      </c>
      <c r="I234" t="s">
        <v>95</v>
      </c>
      <c r="J234" t="s">
        <v>176</v>
      </c>
      <c r="K234" s="30">
        <v>42878</v>
      </c>
      <c r="L234" s="8">
        <v>42877.36204861111</v>
      </c>
      <c r="M234" s="21">
        <f>LEN(ProjTextTable[[#This Row],[text]])</f>
        <v>2280</v>
      </c>
      <c r="N234" s="21">
        <f>LEN(TRIM(CLEAN(SUBSTITUTE(ProjTextTable[[#This Row],[text]],CHAR(10)," "))))+1 - LEN(SUBSTITUTE(CLEAN(SUBSTITUTE(ProjTextTable[[#This Row],[text]],CHAR(10)," "))," ",""))</f>
        <v>313</v>
      </c>
      <c r="O234" t="s">
        <v>251</v>
      </c>
      <c r="P234" t="s">
        <v>1297</v>
      </c>
    </row>
    <row r="235" spans="1:16">
      <c r="A235">
        <f t="shared" si="3"/>
        <v>36</v>
      </c>
      <c r="B235" t="s">
        <v>1292</v>
      </c>
      <c r="C235" t="s">
        <v>1293</v>
      </c>
      <c r="D235" t="s">
        <v>194</v>
      </c>
      <c r="E235" t="s">
        <v>543</v>
      </c>
      <c r="F235" t="s">
        <v>1018</v>
      </c>
      <c r="G235" t="s">
        <v>1019</v>
      </c>
      <c r="H235" t="s">
        <v>1020</v>
      </c>
      <c r="I235" t="s">
        <v>95</v>
      </c>
      <c r="J235" t="s">
        <v>176</v>
      </c>
      <c r="K235" s="30">
        <v>42878</v>
      </c>
      <c r="L235" s="8">
        <v>42874.009652777779</v>
      </c>
      <c r="M235" s="21">
        <f>LEN(ProjTextTable[[#This Row],[text]])</f>
        <v>1680</v>
      </c>
      <c r="N235" s="21">
        <f>LEN(TRIM(CLEAN(SUBSTITUTE(ProjTextTable[[#This Row],[text]],CHAR(10)," "))))+1 - LEN(SUBSTITUTE(CLEAN(SUBSTITUTE(ProjTextTable[[#This Row],[text]],CHAR(10)," "))," ",""))</f>
        <v>241</v>
      </c>
      <c r="O235" t="s">
        <v>202</v>
      </c>
      <c r="P235" t="s">
        <v>1298</v>
      </c>
    </row>
    <row r="236" spans="1:16">
      <c r="A236">
        <f t="shared" si="3"/>
        <v>36</v>
      </c>
      <c r="B236" t="s">
        <v>1292</v>
      </c>
      <c r="C236" t="s">
        <v>1293</v>
      </c>
      <c r="D236" t="s">
        <v>196</v>
      </c>
      <c r="E236" t="s">
        <v>948</v>
      </c>
      <c r="F236" t="s">
        <v>13</v>
      </c>
      <c r="G236" t="s">
        <v>13</v>
      </c>
      <c r="H236" t="s">
        <v>13</v>
      </c>
      <c r="K236" s="30"/>
      <c r="L236" s="8">
        <v>42810.042384259257</v>
      </c>
      <c r="M236" s="21">
        <f>LEN(ProjTextTable[[#This Row],[text]])</f>
        <v>4464</v>
      </c>
      <c r="N236" s="21">
        <f>LEN(TRIM(CLEAN(SUBSTITUTE(ProjTextTable[[#This Row],[text]],CHAR(10)," "))))+1 - LEN(SUBSTITUTE(CLEAN(SUBSTITUTE(ProjTextTable[[#This Row],[text]],CHAR(10)," "))," ",""))</f>
        <v>626</v>
      </c>
      <c r="O236" t="s">
        <v>13</v>
      </c>
      <c r="P236" t="s">
        <v>1299</v>
      </c>
    </row>
    <row r="237" spans="1:16">
      <c r="A237">
        <f t="shared" si="3"/>
        <v>37</v>
      </c>
      <c r="B237" t="s">
        <v>1300</v>
      </c>
      <c r="C237" t="s">
        <v>1301</v>
      </c>
      <c r="D237" t="s">
        <v>205</v>
      </c>
      <c r="E237" t="s">
        <v>942</v>
      </c>
      <c r="F237" t="s">
        <v>943</v>
      </c>
      <c r="G237" t="s">
        <v>944</v>
      </c>
      <c r="H237" t="s">
        <v>974</v>
      </c>
      <c r="I237" t="s">
        <v>200</v>
      </c>
      <c r="K237" s="30">
        <v>42877</v>
      </c>
      <c r="L237" s="8"/>
      <c r="M237" s="21">
        <f>LEN(ProjTextTable[[#This Row],[text]])</f>
        <v>1</v>
      </c>
      <c r="N237" s="21">
        <f>LEN(TRIM(CLEAN(SUBSTITUTE(ProjTextTable[[#This Row],[text]],CHAR(10)," "))))+1 - LEN(SUBSTITUTE(CLEAN(SUBSTITUTE(ProjTextTable[[#This Row],[text]],CHAR(10)," "))," ",""))</f>
        <v>1</v>
      </c>
      <c r="O237" t="s">
        <v>975</v>
      </c>
      <c r="P237" t="s">
        <v>13</v>
      </c>
    </row>
    <row r="238" spans="1:16">
      <c r="A238">
        <f t="shared" si="3"/>
        <v>37</v>
      </c>
      <c r="B238" t="s">
        <v>1300</v>
      </c>
      <c r="C238" t="s">
        <v>1301</v>
      </c>
      <c r="D238" t="s">
        <v>951</v>
      </c>
      <c r="E238" t="s">
        <v>948</v>
      </c>
      <c r="F238" t="s">
        <v>1300</v>
      </c>
      <c r="G238" t="s">
        <v>952</v>
      </c>
      <c r="H238" t="s">
        <v>13</v>
      </c>
      <c r="I238" t="s">
        <v>13</v>
      </c>
      <c r="J238" t="s">
        <v>396</v>
      </c>
      <c r="K238" s="30">
        <v>42955.677777777775</v>
      </c>
      <c r="L238" s="8">
        <v>44781.677777777775</v>
      </c>
      <c r="M238" s="21">
        <f>LEN(ProjTextTable[[#This Row],[text]])</f>
        <v>6360</v>
      </c>
      <c r="N238" s="21">
        <f>LEN(TRIM(CLEAN(SUBSTITUTE(ProjTextTable[[#This Row],[text]],CHAR(10)," "))))+1 - LEN(SUBSTITUTE(CLEAN(SUBSTITUTE(ProjTextTable[[#This Row],[text]],CHAR(10)," "))," ",""))</f>
        <v>943</v>
      </c>
      <c r="O238" t="s">
        <v>13</v>
      </c>
      <c r="P238" t="s">
        <v>1302</v>
      </c>
    </row>
    <row r="239" spans="1:16">
      <c r="A239">
        <f t="shared" si="3"/>
        <v>37</v>
      </c>
      <c r="B239" t="s">
        <v>1300</v>
      </c>
      <c r="C239" t="s">
        <v>1301</v>
      </c>
      <c r="D239" t="s">
        <v>194</v>
      </c>
      <c r="E239" t="s">
        <v>543</v>
      </c>
      <c r="F239" t="s">
        <v>1155</v>
      </c>
      <c r="G239" t="s">
        <v>1156</v>
      </c>
      <c r="H239" t="s">
        <v>1157</v>
      </c>
      <c r="I239" t="s">
        <v>95</v>
      </c>
      <c r="J239" t="s">
        <v>176</v>
      </c>
      <c r="K239" s="30">
        <v>42878</v>
      </c>
      <c r="L239" s="8">
        <v>42876.657083333332</v>
      </c>
      <c r="M239" s="21">
        <f>LEN(ProjTextTable[[#This Row],[text]])</f>
        <v>4225</v>
      </c>
      <c r="N239" s="21">
        <f>LEN(TRIM(CLEAN(SUBSTITUTE(ProjTextTable[[#This Row],[text]],CHAR(10)," "))))+1 - LEN(SUBSTITUTE(CLEAN(SUBSTITUTE(ProjTextTable[[#This Row],[text]],CHAR(10)," "))," ",""))</f>
        <v>633</v>
      </c>
      <c r="O239" t="s">
        <v>195</v>
      </c>
      <c r="P239" t="s">
        <v>1303</v>
      </c>
    </row>
    <row r="240" spans="1:16">
      <c r="A240">
        <f t="shared" si="3"/>
        <v>37</v>
      </c>
      <c r="B240" t="s">
        <v>1300</v>
      </c>
      <c r="C240" t="s">
        <v>1301</v>
      </c>
      <c r="D240" t="s">
        <v>194</v>
      </c>
      <c r="E240" t="s">
        <v>543</v>
      </c>
      <c r="F240" t="s">
        <v>1047</v>
      </c>
      <c r="G240" t="s">
        <v>1048</v>
      </c>
      <c r="H240" t="s">
        <v>1049</v>
      </c>
      <c r="I240" t="s">
        <v>95</v>
      </c>
      <c r="J240" t="s">
        <v>176</v>
      </c>
      <c r="K240" s="30">
        <v>42878</v>
      </c>
      <c r="L240" s="8">
        <v>42878.535405092596</v>
      </c>
      <c r="M240" s="21">
        <f>LEN(ProjTextTable[[#This Row],[text]])</f>
        <v>1238</v>
      </c>
      <c r="N240" s="21">
        <f>LEN(TRIM(CLEAN(SUBSTITUTE(ProjTextTable[[#This Row],[text]],CHAR(10)," "))))+1 - LEN(SUBSTITUTE(CLEAN(SUBSTITUTE(ProjTextTable[[#This Row],[text]],CHAR(10)," "))," ",""))</f>
        <v>184</v>
      </c>
      <c r="O240" t="s">
        <v>201</v>
      </c>
      <c r="P240" t="s">
        <v>1304</v>
      </c>
    </row>
    <row r="241" spans="1:16">
      <c r="A241">
        <f t="shared" si="3"/>
        <v>37</v>
      </c>
      <c r="B241" t="s">
        <v>1300</v>
      </c>
      <c r="C241" t="s">
        <v>1301</v>
      </c>
      <c r="D241" t="s">
        <v>194</v>
      </c>
      <c r="E241" t="s">
        <v>543</v>
      </c>
      <c r="F241" t="s">
        <v>1018</v>
      </c>
      <c r="G241" t="s">
        <v>1019</v>
      </c>
      <c r="H241" t="s">
        <v>1020</v>
      </c>
      <c r="I241" t="s">
        <v>95</v>
      </c>
      <c r="J241" t="s">
        <v>176</v>
      </c>
      <c r="K241" s="30">
        <v>42878</v>
      </c>
      <c r="L241" s="8">
        <v>42877.413900462961</v>
      </c>
      <c r="M241" s="21">
        <f>LEN(ProjTextTable[[#This Row],[text]])</f>
        <v>2233</v>
      </c>
      <c r="N241" s="21">
        <f>LEN(TRIM(CLEAN(SUBSTITUTE(ProjTextTable[[#This Row],[text]],CHAR(10)," "))))+1 - LEN(SUBSTITUTE(CLEAN(SUBSTITUTE(ProjTextTable[[#This Row],[text]],CHAR(10)," "))," ",""))</f>
        <v>331</v>
      </c>
      <c r="O241" t="s">
        <v>203</v>
      </c>
      <c r="P241" t="s">
        <v>1305</v>
      </c>
    </row>
    <row r="242" spans="1:16">
      <c r="A242">
        <f t="shared" si="3"/>
        <v>37</v>
      </c>
      <c r="B242" t="s">
        <v>1300</v>
      </c>
      <c r="C242" t="s">
        <v>1301</v>
      </c>
      <c r="D242" t="s">
        <v>196</v>
      </c>
      <c r="E242" t="s">
        <v>948</v>
      </c>
      <c r="F242" t="s">
        <v>13</v>
      </c>
      <c r="G242" t="s">
        <v>13</v>
      </c>
      <c r="H242" t="s">
        <v>13</v>
      </c>
      <c r="K242" s="30"/>
      <c r="L242" s="8">
        <v>42810.042384259257</v>
      </c>
      <c r="M242" s="21">
        <f>LEN(ProjTextTable[[#This Row],[text]])</f>
        <v>4552</v>
      </c>
      <c r="N242" s="21">
        <f>LEN(TRIM(CLEAN(SUBSTITUTE(ProjTextTable[[#This Row],[text]],CHAR(10)," "))))+1 - LEN(SUBSTITUTE(CLEAN(SUBSTITUTE(ProjTextTable[[#This Row],[text]],CHAR(10)," "))," ",""))</f>
        <v>670</v>
      </c>
      <c r="O242" t="s">
        <v>13</v>
      </c>
      <c r="P242" t="s">
        <v>1306</v>
      </c>
    </row>
    <row r="243" spans="1:16">
      <c r="A243">
        <f t="shared" si="3"/>
        <v>38</v>
      </c>
      <c r="B243" t="s">
        <v>1307</v>
      </c>
      <c r="C243" t="s">
        <v>1308</v>
      </c>
      <c r="D243" t="s">
        <v>205</v>
      </c>
      <c r="E243" t="s">
        <v>942</v>
      </c>
      <c r="F243" t="s">
        <v>943</v>
      </c>
      <c r="G243" t="s">
        <v>944</v>
      </c>
      <c r="H243" t="s">
        <v>921</v>
      </c>
      <c r="I243" t="s">
        <v>193</v>
      </c>
      <c r="J243" t="s">
        <v>396</v>
      </c>
      <c r="K243" s="30">
        <v>42877</v>
      </c>
      <c r="L243" s="8">
        <v>42916.815636574072</v>
      </c>
      <c r="M243" s="21">
        <f>LEN(ProjTextTable[[#This Row],[text]])</f>
        <v>2314</v>
      </c>
      <c r="N243" s="21">
        <f>LEN(TRIM(CLEAN(SUBSTITUTE(ProjTextTable[[#This Row],[text]],CHAR(10)," "))))+1 - LEN(SUBSTITUTE(CLEAN(SUBSTITUTE(ProjTextTable[[#This Row],[text]],CHAR(10)," "))," ",""))</f>
        <v>320</v>
      </c>
      <c r="O243" t="s">
        <v>923</v>
      </c>
      <c r="P243" t="s">
        <v>1309</v>
      </c>
    </row>
    <row r="244" spans="1:16">
      <c r="A244">
        <f t="shared" si="3"/>
        <v>38</v>
      </c>
      <c r="B244" t="s">
        <v>1307</v>
      </c>
      <c r="C244" t="s">
        <v>1310</v>
      </c>
      <c r="D244" t="s">
        <v>951</v>
      </c>
      <c r="E244" t="s">
        <v>948</v>
      </c>
      <c r="F244" t="s">
        <v>1311</v>
      </c>
      <c r="G244" t="s">
        <v>952</v>
      </c>
      <c r="H244" t="s">
        <v>13</v>
      </c>
      <c r="I244" t="s">
        <v>13</v>
      </c>
      <c r="J244" t="s">
        <v>396</v>
      </c>
      <c r="K244" s="30">
        <v>42957.732638888891</v>
      </c>
      <c r="L244" s="8">
        <v>44783.732638888891</v>
      </c>
      <c r="M244" s="21">
        <f>LEN(ProjTextTable[[#This Row],[text]])</f>
        <v>6329</v>
      </c>
      <c r="N244" s="21">
        <f>LEN(TRIM(CLEAN(SUBSTITUTE(ProjTextTable[[#This Row],[text]],CHAR(10)," "))))+1 - LEN(SUBSTITUTE(CLEAN(SUBSTITUTE(ProjTextTable[[#This Row],[text]],CHAR(10)," "))," ",""))</f>
        <v>933</v>
      </c>
      <c r="O244" t="s">
        <v>13</v>
      </c>
      <c r="P244" t="s">
        <v>1312</v>
      </c>
    </row>
    <row r="245" spans="1:16">
      <c r="A245">
        <f t="shared" si="3"/>
        <v>38</v>
      </c>
      <c r="B245" t="s">
        <v>1307</v>
      </c>
      <c r="C245" t="s">
        <v>1313</v>
      </c>
      <c r="D245" t="s">
        <v>951</v>
      </c>
      <c r="E245" t="s">
        <v>948</v>
      </c>
      <c r="F245" t="s">
        <v>1314</v>
      </c>
      <c r="G245" t="s">
        <v>952</v>
      </c>
      <c r="H245" t="s">
        <v>13</v>
      </c>
      <c r="I245" t="s">
        <v>13</v>
      </c>
      <c r="J245" t="s">
        <v>396</v>
      </c>
      <c r="K245" s="30">
        <v>42957.732638888891</v>
      </c>
      <c r="L245" s="8">
        <v>44783.732638888891</v>
      </c>
      <c r="M245" s="21">
        <f>LEN(ProjTextTable[[#This Row],[text]])</f>
        <v>6329</v>
      </c>
      <c r="N245" s="21">
        <f>LEN(TRIM(CLEAN(SUBSTITUTE(ProjTextTable[[#This Row],[text]],CHAR(10)," "))))+1 - LEN(SUBSTITUTE(CLEAN(SUBSTITUTE(ProjTextTable[[#This Row],[text]],CHAR(10)," "))," ",""))</f>
        <v>933</v>
      </c>
      <c r="O245" t="s">
        <v>13</v>
      </c>
      <c r="P245" t="s">
        <v>1312</v>
      </c>
    </row>
    <row r="246" spans="1:16">
      <c r="A246">
        <f t="shared" si="3"/>
        <v>38</v>
      </c>
      <c r="B246" t="s">
        <v>1307</v>
      </c>
      <c r="C246" t="s">
        <v>1308</v>
      </c>
      <c r="D246" t="s">
        <v>951</v>
      </c>
      <c r="E246" t="s">
        <v>948</v>
      </c>
      <c r="F246" t="s">
        <v>1307</v>
      </c>
      <c r="G246" t="s">
        <v>952</v>
      </c>
      <c r="H246" t="s">
        <v>13</v>
      </c>
      <c r="I246" t="s">
        <v>13</v>
      </c>
      <c r="J246" t="s">
        <v>396</v>
      </c>
      <c r="K246" s="30">
        <v>42957.732638888891</v>
      </c>
      <c r="L246" s="8">
        <v>44783.732638888891</v>
      </c>
      <c r="M246" s="21">
        <f>LEN(ProjTextTable[[#This Row],[text]])</f>
        <v>6320</v>
      </c>
      <c r="N246" s="21">
        <f>LEN(TRIM(CLEAN(SUBSTITUTE(ProjTextTable[[#This Row],[text]],CHAR(10)," "))))+1 - LEN(SUBSTITUTE(CLEAN(SUBSTITUTE(ProjTextTable[[#This Row],[text]],CHAR(10)," "))," ",""))</f>
        <v>931</v>
      </c>
      <c r="O246" t="s">
        <v>13</v>
      </c>
      <c r="P246" t="s">
        <v>1315</v>
      </c>
    </row>
    <row r="247" spans="1:16">
      <c r="A247">
        <f t="shared" si="3"/>
        <v>38</v>
      </c>
      <c r="B247" t="s">
        <v>1307</v>
      </c>
      <c r="C247" t="s">
        <v>1308</v>
      </c>
      <c r="D247" t="s">
        <v>194</v>
      </c>
      <c r="E247" t="s">
        <v>543</v>
      </c>
      <c r="F247" t="s">
        <v>955</v>
      </c>
      <c r="G247" t="s">
        <v>956</v>
      </c>
      <c r="H247" t="s">
        <v>957</v>
      </c>
      <c r="I247" t="s">
        <v>95</v>
      </c>
      <c r="J247" t="s">
        <v>176</v>
      </c>
      <c r="K247" s="30">
        <v>42878</v>
      </c>
      <c r="L247" s="8">
        <v>42878.472546296296</v>
      </c>
      <c r="M247" s="21">
        <f>LEN(ProjTextTable[[#This Row],[text]])</f>
        <v>3934</v>
      </c>
      <c r="N247" s="21">
        <f>LEN(TRIM(CLEAN(SUBSTITUTE(ProjTextTable[[#This Row],[text]],CHAR(10)," "))))+1 - LEN(SUBSTITUTE(CLEAN(SUBSTITUTE(ProjTextTable[[#This Row],[text]],CHAR(10)," "))," ",""))</f>
        <v>606</v>
      </c>
      <c r="O247" t="s">
        <v>195</v>
      </c>
      <c r="P247" t="s">
        <v>1316</v>
      </c>
    </row>
    <row r="248" spans="1:16">
      <c r="A248">
        <f t="shared" si="3"/>
        <v>38</v>
      </c>
      <c r="B248" t="s">
        <v>1307</v>
      </c>
      <c r="C248" t="s">
        <v>1308</v>
      </c>
      <c r="D248" t="s">
        <v>194</v>
      </c>
      <c r="E248" t="s">
        <v>543</v>
      </c>
      <c r="F248" t="s">
        <v>1035</v>
      </c>
      <c r="G248" t="s">
        <v>1036</v>
      </c>
      <c r="H248" t="s">
        <v>1037</v>
      </c>
      <c r="I248" t="s">
        <v>95</v>
      </c>
      <c r="J248" t="s">
        <v>176</v>
      </c>
      <c r="K248" s="30">
        <v>42878</v>
      </c>
      <c r="L248" s="8">
        <v>42878.292754629627</v>
      </c>
      <c r="M248" s="21">
        <f>LEN(ProjTextTable[[#This Row],[text]])</f>
        <v>3522</v>
      </c>
      <c r="N248" s="21">
        <f>LEN(TRIM(CLEAN(SUBSTITUTE(ProjTextTable[[#This Row],[text]],CHAR(10)," "))))+1 - LEN(SUBSTITUTE(CLEAN(SUBSTITUTE(ProjTextTable[[#This Row],[text]],CHAR(10)," "))," ",""))</f>
        <v>536</v>
      </c>
      <c r="O248" t="s">
        <v>199</v>
      </c>
      <c r="P248" t="s">
        <v>1317</v>
      </c>
    </row>
    <row r="249" spans="1:16">
      <c r="A249">
        <f t="shared" si="3"/>
        <v>38</v>
      </c>
      <c r="B249" t="s">
        <v>1307</v>
      </c>
      <c r="C249" t="s">
        <v>1308</v>
      </c>
      <c r="D249" t="s">
        <v>194</v>
      </c>
      <c r="E249" t="s">
        <v>543</v>
      </c>
      <c r="F249" t="s">
        <v>1059</v>
      </c>
      <c r="G249" t="s">
        <v>1060</v>
      </c>
      <c r="H249" t="s">
        <v>1061</v>
      </c>
      <c r="I249" t="s">
        <v>95</v>
      </c>
      <c r="J249" t="s">
        <v>176</v>
      </c>
      <c r="K249" s="30">
        <v>42878</v>
      </c>
      <c r="L249" s="8">
        <v>42877.639768518522</v>
      </c>
      <c r="M249" s="21">
        <f>LEN(ProjTextTable[[#This Row],[text]])</f>
        <v>2045</v>
      </c>
      <c r="N249" s="21">
        <f>LEN(TRIM(CLEAN(SUBSTITUTE(ProjTextTable[[#This Row],[text]],CHAR(10)," "))))+1 - LEN(SUBSTITUTE(CLEAN(SUBSTITUTE(ProjTextTable[[#This Row],[text]],CHAR(10)," "))," ",""))</f>
        <v>302</v>
      </c>
      <c r="O249" t="s">
        <v>195</v>
      </c>
      <c r="P249" t="s">
        <v>1318</v>
      </c>
    </row>
    <row r="250" spans="1:16">
      <c r="A250">
        <f t="shared" si="3"/>
        <v>38</v>
      </c>
      <c r="B250" t="s">
        <v>1307</v>
      </c>
      <c r="C250" t="s">
        <v>1308</v>
      </c>
      <c r="D250" t="s">
        <v>196</v>
      </c>
      <c r="E250" t="s">
        <v>948</v>
      </c>
      <c r="F250" t="s">
        <v>13</v>
      </c>
      <c r="G250" t="s">
        <v>13</v>
      </c>
      <c r="H250" t="s">
        <v>13</v>
      </c>
      <c r="K250" s="30"/>
      <c r="L250" s="8">
        <v>42810.042384259257</v>
      </c>
      <c r="M250" s="21">
        <f>LEN(ProjTextTable[[#This Row],[text]])</f>
        <v>4267</v>
      </c>
      <c r="N250" s="21">
        <f>LEN(TRIM(CLEAN(SUBSTITUTE(ProjTextTable[[#This Row],[text]],CHAR(10)," "))))+1 - LEN(SUBSTITUTE(CLEAN(SUBSTITUTE(ProjTextTable[[#This Row],[text]],CHAR(10)," "))," ",""))</f>
        <v>587</v>
      </c>
      <c r="O250" t="s">
        <v>13</v>
      </c>
      <c r="P250" t="s">
        <v>1319</v>
      </c>
    </row>
    <row r="251" spans="1:16">
      <c r="A251">
        <f t="shared" si="3"/>
        <v>39</v>
      </c>
      <c r="B251" t="s">
        <v>1320</v>
      </c>
      <c r="C251" t="s">
        <v>1321</v>
      </c>
      <c r="D251" t="s">
        <v>205</v>
      </c>
      <c r="E251" t="s">
        <v>543</v>
      </c>
      <c r="F251" t="s">
        <v>919</v>
      </c>
      <c r="G251" t="s">
        <v>920</v>
      </c>
      <c r="H251" t="s">
        <v>945</v>
      </c>
      <c r="I251" t="s">
        <v>95</v>
      </c>
      <c r="J251" t="s">
        <v>95</v>
      </c>
      <c r="K251" s="30">
        <v>42871</v>
      </c>
      <c r="L251" s="8">
        <v>42927.537442129629</v>
      </c>
      <c r="M251" s="21">
        <f>LEN(ProjTextTable[[#This Row],[text]])</f>
        <v>2898</v>
      </c>
      <c r="N251" s="21">
        <f>LEN(TRIM(CLEAN(SUBSTITUTE(ProjTextTable[[#This Row],[text]],CHAR(10)," "))))+1 - LEN(SUBSTITUTE(CLEAN(SUBSTITUTE(ProjTextTable[[#This Row],[text]],CHAR(10)," "))," ",""))</f>
        <v>406</v>
      </c>
      <c r="O251" t="s">
        <v>946</v>
      </c>
      <c r="P251" t="s">
        <v>1322</v>
      </c>
    </row>
    <row r="252" spans="1:16">
      <c r="A252">
        <f t="shared" si="3"/>
        <v>39</v>
      </c>
      <c r="B252" t="s">
        <v>1320</v>
      </c>
      <c r="C252" t="s">
        <v>1321</v>
      </c>
      <c r="D252" t="s">
        <v>397</v>
      </c>
      <c r="E252" t="s">
        <v>543</v>
      </c>
      <c r="F252" t="s">
        <v>13</v>
      </c>
      <c r="G252" t="s">
        <v>1323</v>
      </c>
      <c r="H252" t="s">
        <v>13</v>
      </c>
      <c r="I252" t="s">
        <v>13</v>
      </c>
      <c r="K252" s="30"/>
      <c r="L252" s="8">
        <v>42932.807893518519</v>
      </c>
      <c r="M252" s="21">
        <f>LEN(ProjTextTable[[#This Row],[text]])</f>
        <v>4010</v>
      </c>
      <c r="N252" s="21">
        <f>LEN(TRIM(CLEAN(SUBSTITUTE(ProjTextTable[[#This Row],[text]],CHAR(10)," "))))+1 - LEN(SUBSTITUTE(CLEAN(SUBSTITUTE(ProjTextTable[[#This Row],[text]],CHAR(10)," "))," ",""))</f>
        <v>549</v>
      </c>
      <c r="O252" t="s">
        <v>13</v>
      </c>
      <c r="P252" t="s">
        <v>1324</v>
      </c>
    </row>
    <row r="253" spans="1:16">
      <c r="A253">
        <f t="shared" si="3"/>
        <v>39</v>
      </c>
      <c r="B253" t="s">
        <v>1320</v>
      </c>
      <c r="C253" t="s">
        <v>1321</v>
      </c>
      <c r="D253" t="s">
        <v>951</v>
      </c>
      <c r="E253" t="s">
        <v>543</v>
      </c>
      <c r="F253" t="s">
        <v>1320</v>
      </c>
      <c r="G253" t="s">
        <v>987</v>
      </c>
      <c r="H253" t="s">
        <v>13</v>
      </c>
      <c r="I253" t="s">
        <v>13</v>
      </c>
      <c r="J253" t="s">
        <v>953</v>
      </c>
      <c r="K253" s="30">
        <v>42928.340277777781</v>
      </c>
      <c r="L253" s="8">
        <v>44754.340277777781</v>
      </c>
      <c r="M253" s="21">
        <f>LEN(ProjTextTable[[#This Row],[text]])</f>
        <v>5664</v>
      </c>
      <c r="N253" s="21">
        <f>LEN(TRIM(CLEAN(SUBSTITUTE(ProjTextTable[[#This Row],[text]],CHAR(10)," "))))+1 - LEN(SUBSTITUTE(CLEAN(SUBSTITUTE(ProjTextTable[[#This Row],[text]],CHAR(10)," "))," ",""))</f>
        <v>837</v>
      </c>
      <c r="O253" t="s">
        <v>13</v>
      </c>
      <c r="P253" t="s">
        <v>1325</v>
      </c>
    </row>
    <row r="254" spans="1:16">
      <c r="A254">
        <f t="shared" si="3"/>
        <v>39</v>
      </c>
      <c r="B254" t="s">
        <v>1320</v>
      </c>
      <c r="C254" t="s">
        <v>1321</v>
      </c>
      <c r="D254" t="s">
        <v>2</v>
      </c>
      <c r="E254" t="s">
        <v>543</v>
      </c>
      <c r="F254" t="s">
        <v>13</v>
      </c>
      <c r="G254" t="s">
        <v>925</v>
      </c>
      <c r="H254" t="s">
        <v>13</v>
      </c>
      <c r="I254" t="s">
        <v>13</v>
      </c>
      <c r="K254" s="30"/>
      <c r="L254" s="8">
        <v>42929.446134259262</v>
      </c>
      <c r="M254" s="21">
        <f>LEN(ProjTextTable[[#This Row],[text]])</f>
        <v>8723</v>
      </c>
      <c r="N254" s="21">
        <f>LEN(TRIM(CLEAN(SUBSTITUTE(ProjTextTable[[#This Row],[text]],CHAR(10)," "))))+1 - LEN(SUBSTITUTE(CLEAN(SUBSTITUTE(ProjTextTable[[#This Row],[text]],CHAR(10)," "))," ",""))</f>
        <v>1270</v>
      </c>
      <c r="O254" t="s">
        <v>13</v>
      </c>
      <c r="P254" t="s">
        <v>1326</v>
      </c>
    </row>
    <row r="255" spans="1:16">
      <c r="A255">
        <f t="shared" si="3"/>
        <v>39</v>
      </c>
      <c r="B255" t="s">
        <v>1320</v>
      </c>
      <c r="C255" t="s">
        <v>1321</v>
      </c>
      <c r="D255" t="s">
        <v>194</v>
      </c>
      <c r="E255" t="s">
        <v>543</v>
      </c>
      <c r="F255" t="s">
        <v>1084</v>
      </c>
      <c r="G255" t="s">
        <v>1085</v>
      </c>
      <c r="H255" t="s">
        <v>1086</v>
      </c>
      <c r="I255" t="s">
        <v>95</v>
      </c>
      <c r="J255" t="s">
        <v>176</v>
      </c>
      <c r="K255" s="30">
        <v>42872</v>
      </c>
      <c r="L255" s="8">
        <v>42867.509976851848</v>
      </c>
      <c r="M255" s="21">
        <f>LEN(ProjTextTable[[#This Row],[text]])</f>
        <v>3283</v>
      </c>
      <c r="N255" s="21">
        <f>LEN(TRIM(CLEAN(SUBSTITUTE(ProjTextTable[[#This Row],[text]],CHAR(10)," "))))+1 - LEN(SUBSTITUTE(CLEAN(SUBSTITUTE(ProjTextTable[[#This Row],[text]],CHAR(10)," "))," ",""))</f>
        <v>519</v>
      </c>
      <c r="O255" t="s">
        <v>251</v>
      </c>
      <c r="P255" t="s">
        <v>1327</v>
      </c>
    </row>
    <row r="256" spans="1:16">
      <c r="A256">
        <f t="shared" si="3"/>
        <v>39</v>
      </c>
      <c r="B256" t="s">
        <v>1320</v>
      </c>
      <c r="C256" t="s">
        <v>1321</v>
      </c>
      <c r="D256" t="s">
        <v>194</v>
      </c>
      <c r="E256" t="s">
        <v>543</v>
      </c>
      <c r="F256" t="s">
        <v>927</v>
      </c>
      <c r="G256" t="s">
        <v>928</v>
      </c>
      <c r="H256" t="s">
        <v>929</v>
      </c>
      <c r="I256" t="s">
        <v>95</v>
      </c>
      <c r="J256" t="s">
        <v>176</v>
      </c>
      <c r="K256" s="30">
        <v>42872</v>
      </c>
      <c r="L256" s="8">
        <v>42866.638831018521</v>
      </c>
      <c r="M256" s="21">
        <f>LEN(ProjTextTable[[#This Row],[text]])</f>
        <v>3071</v>
      </c>
      <c r="N256" s="21">
        <f>LEN(TRIM(CLEAN(SUBSTITUTE(ProjTextTable[[#This Row],[text]],CHAR(10)," "))))+1 - LEN(SUBSTITUTE(CLEAN(SUBSTITUTE(ProjTextTable[[#This Row],[text]],CHAR(10)," "))," ",""))</f>
        <v>449</v>
      </c>
      <c r="O256" t="s">
        <v>251</v>
      </c>
      <c r="P256" t="s">
        <v>1328</v>
      </c>
    </row>
    <row r="257" spans="1:16">
      <c r="A257">
        <f t="shared" si="3"/>
        <v>39</v>
      </c>
      <c r="B257" t="s">
        <v>1320</v>
      </c>
      <c r="C257" t="s">
        <v>1321</v>
      </c>
      <c r="D257" t="s">
        <v>194</v>
      </c>
      <c r="E257" t="s">
        <v>543</v>
      </c>
      <c r="F257" t="s">
        <v>1127</v>
      </c>
      <c r="G257" t="s">
        <v>1128</v>
      </c>
      <c r="H257" t="s">
        <v>1129</v>
      </c>
      <c r="I257" t="s">
        <v>95</v>
      </c>
      <c r="J257" t="s">
        <v>176</v>
      </c>
      <c r="K257" s="30">
        <v>42872</v>
      </c>
      <c r="L257" s="8">
        <v>42870.641261574077</v>
      </c>
      <c r="M257" s="21">
        <f>LEN(ProjTextTable[[#This Row],[text]])</f>
        <v>3374</v>
      </c>
      <c r="N257" s="21">
        <f>LEN(TRIM(CLEAN(SUBSTITUTE(ProjTextTable[[#This Row],[text]],CHAR(10)," "))))+1 - LEN(SUBSTITUTE(CLEAN(SUBSTITUTE(ProjTextTable[[#This Row],[text]],CHAR(10)," "))," ",""))</f>
        <v>541</v>
      </c>
      <c r="O257" t="s">
        <v>198</v>
      </c>
      <c r="P257" t="s">
        <v>1329</v>
      </c>
    </row>
    <row r="258" spans="1:16">
      <c r="A258">
        <f t="shared" ref="A258:A321" si="4">A257+(B258&lt;&gt;B257)</f>
        <v>39</v>
      </c>
      <c r="B258" t="s">
        <v>1320</v>
      </c>
      <c r="C258" t="s">
        <v>1321</v>
      </c>
      <c r="D258" t="s">
        <v>196</v>
      </c>
      <c r="E258" t="s">
        <v>543</v>
      </c>
      <c r="F258" t="s">
        <v>13</v>
      </c>
      <c r="G258" t="s">
        <v>13</v>
      </c>
      <c r="H258" t="s">
        <v>13</v>
      </c>
      <c r="K258" s="30"/>
      <c r="L258" s="8">
        <v>42810.042384259257</v>
      </c>
      <c r="M258" s="21">
        <f>LEN(ProjTextTable[[#This Row],[text]])</f>
        <v>3424</v>
      </c>
      <c r="N258" s="21">
        <f>LEN(TRIM(CLEAN(SUBSTITUTE(ProjTextTable[[#This Row],[text]],CHAR(10)," "))))+1 - LEN(SUBSTITUTE(CLEAN(SUBSTITUTE(ProjTextTable[[#This Row],[text]],CHAR(10)," "))," ",""))</f>
        <v>482</v>
      </c>
      <c r="O258" t="s">
        <v>13</v>
      </c>
      <c r="P258" t="s">
        <v>1330</v>
      </c>
    </row>
    <row r="259" spans="1:16">
      <c r="A259">
        <f t="shared" si="4"/>
        <v>39</v>
      </c>
      <c r="B259" t="s">
        <v>1320</v>
      </c>
      <c r="C259" t="s">
        <v>1321</v>
      </c>
      <c r="D259" t="s">
        <v>968</v>
      </c>
      <c r="E259" t="s">
        <v>543</v>
      </c>
      <c r="F259" t="s">
        <v>1320</v>
      </c>
      <c r="G259" t="s">
        <v>969</v>
      </c>
      <c r="H259" t="s">
        <v>970</v>
      </c>
      <c r="K259" s="30"/>
      <c r="L259" s="8">
        <v>42927.689155092594</v>
      </c>
      <c r="M259" s="21">
        <f>LEN(ProjTextTable[[#This Row],[text]])</f>
        <v>2257</v>
      </c>
      <c r="N259" s="21">
        <f>LEN(TRIM(CLEAN(SUBSTITUTE(ProjTextTable[[#This Row],[text]],CHAR(10)," "))))+1 - LEN(SUBSTITUTE(CLEAN(SUBSTITUTE(ProjTextTable[[#This Row],[text]],CHAR(10)," "))," ",""))</f>
        <v>336</v>
      </c>
      <c r="O259" t="s">
        <v>13</v>
      </c>
      <c r="P259" t="s">
        <v>971</v>
      </c>
    </row>
    <row r="260" spans="1:16">
      <c r="A260">
        <f t="shared" si="4"/>
        <v>40</v>
      </c>
      <c r="B260" t="s">
        <v>1331</v>
      </c>
      <c r="C260" t="s">
        <v>1332</v>
      </c>
      <c r="D260" t="s">
        <v>205</v>
      </c>
      <c r="E260" t="s">
        <v>543</v>
      </c>
      <c r="F260" t="s">
        <v>919</v>
      </c>
      <c r="G260" t="s">
        <v>920</v>
      </c>
      <c r="H260" t="s">
        <v>1004</v>
      </c>
      <c r="I260" t="s">
        <v>197</v>
      </c>
      <c r="J260" t="s">
        <v>668</v>
      </c>
      <c r="K260" s="30">
        <v>42871</v>
      </c>
      <c r="L260" s="8">
        <v>42922.825613425928</v>
      </c>
      <c r="M260" s="21">
        <f>LEN(ProjTextTable[[#This Row],[text]])</f>
        <v>3739</v>
      </c>
      <c r="N260" s="21">
        <f>LEN(TRIM(CLEAN(SUBSTITUTE(ProjTextTable[[#This Row],[text]],CHAR(10)," "))))+1 - LEN(SUBSTITUTE(CLEAN(SUBSTITUTE(ProjTextTable[[#This Row],[text]],CHAR(10)," "))," ",""))</f>
        <v>562</v>
      </c>
      <c r="O260" t="s">
        <v>176</v>
      </c>
      <c r="P260" t="s">
        <v>1333</v>
      </c>
    </row>
    <row r="261" spans="1:16">
      <c r="A261">
        <f t="shared" si="4"/>
        <v>40</v>
      </c>
      <c r="B261" t="s">
        <v>1331</v>
      </c>
      <c r="C261" t="s">
        <v>1332</v>
      </c>
      <c r="D261" t="s">
        <v>2</v>
      </c>
      <c r="E261" t="s">
        <v>540</v>
      </c>
      <c r="F261" t="s">
        <v>13</v>
      </c>
      <c r="G261" t="s">
        <v>925</v>
      </c>
      <c r="H261" t="s">
        <v>13</v>
      </c>
      <c r="I261" t="s">
        <v>13</v>
      </c>
      <c r="K261" s="30"/>
      <c r="L261" s="8">
        <v>42920.120162037034</v>
      </c>
      <c r="M261" s="21">
        <f>LEN(ProjTextTable[[#This Row],[text]])</f>
        <v>3659</v>
      </c>
      <c r="N261" s="21">
        <f>LEN(TRIM(CLEAN(SUBSTITUTE(ProjTextTable[[#This Row],[text]],CHAR(10)," "))))+1 - LEN(SUBSTITUTE(CLEAN(SUBSTITUTE(ProjTextTable[[#This Row],[text]],CHAR(10)," "))," ",""))</f>
        <v>536</v>
      </c>
      <c r="O261" t="s">
        <v>13</v>
      </c>
      <c r="P261" t="s">
        <v>1334</v>
      </c>
    </row>
    <row r="262" spans="1:16">
      <c r="A262">
        <f t="shared" si="4"/>
        <v>40</v>
      </c>
      <c r="B262" t="s">
        <v>1331</v>
      </c>
      <c r="C262" t="s">
        <v>1332</v>
      </c>
      <c r="D262" t="s">
        <v>194</v>
      </c>
      <c r="E262" t="s">
        <v>543</v>
      </c>
      <c r="F262" t="s">
        <v>1084</v>
      </c>
      <c r="G262" t="s">
        <v>1085</v>
      </c>
      <c r="H262" t="s">
        <v>1086</v>
      </c>
      <c r="I262" t="s">
        <v>95</v>
      </c>
      <c r="J262" t="s">
        <v>176</v>
      </c>
      <c r="K262" s="30">
        <v>42872</v>
      </c>
      <c r="L262" s="8">
        <v>42873.53802083333</v>
      </c>
      <c r="M262" s="21">
        <f>LEN(ProjTextTable[[#This Row],[text]])</f>
        <v>2368</v>
      </c>
      <c r="N262" s="21">
        <f>LEN(TRIM(CLEAN(SUBSTITUTE(ProjTextTable[[#This Row],[text]],CHAR(10)," "))))+1 - LEN(SUBSTITUTE(CLEAN(SUBSTITUTE(ProjTextTable[[#This Row],[text]],CHAR(10)," "))," ",""))</f>
        <v>377</v>
      </c>
      <c r="O262" t="s">
        <v>195</v>
      </c>
      <c r="P262" t="s">
        <v>1335</v>
      </c>
    </row>
    <row r="263" spans="1:16">
      <c r="A263">
        <f t="shared" si="4"/>
        <v>40</v>
      </c>
      <c r="B263" t="s">
        <v>1331</v>
      </c>
      <c r="C263" t="s">
        <v>1332</v>
      </c>
      <c r="D263" t="s">
        <v>194</v>
      </c>
      <c r="E263" t="s">
        <v>543</v>
      </c>
      <c r="F263" t="s">
        <v>1100</v>
      </c>
      <c r="G263" t="s">
        <v>1101</v>
      </c>
      <c r="H263" t="s">
        <v>1102</v>
      </c>
      <c r="I263" t="s">
        <v>95</v>
      </c>
      <c r="J263" t="s">
        <v>176</v>
      </c>
      <c r="K263" s="30">
        <v>42872</v>
      </c>
      <c r="L263" s="8">
        <v>42871.420428240737</v>
      </c>
      <c r="M263" s="21">
        <f>LEN(ProjTextTable[[#This Row],[text]])</f>
        <v>6021</v>
      </c>
      <c r="N263" s="21">
        <f>LEN(TRIM(CLEAN(SUBSTITUTE(ProjTextTable[[#This Row],[text]],CHAR(10)," "))))+1 - LEN(SUBSTITUTE(CLEAN(SUBSTITUTE(ProjTextTable[[#This Row],[text]],CHAR(10)," "))," ",""))</f>
        <v>977</v>
      </c>
      <c r="O263" t="s">
        <v>198</v>
      </c>
      <c r="P263" t="s">
        <v>1336</v>
      </c>
    </row>
    <row r="264" spans="1:16">
      <c r="A264">
        <f t="shared" si="4"/>
        <v>40</v>
      </c>
      <c r="B264" t="s">
        <v>1331</v>
      </c>
      <c r="C264" t="s">
        <v>1332</v>
      </c>
      <c r="D264" t="s">
        <v>194</v>
      </c>
      <c r="E264" t="s">
        <v>543</v>
      </c>
      <c r="F264" t="s">
        <v>989</v>
      </c>
      <c r="G264" t="s">
        <v>990</v>
      </c>
      <c r="H264" t="s">
        <v>991</v>
      </c>
      <c r="I264" t="s">
        <v>95</v>
      </c>
      <c r="J264" t="s">
        <v>176</v>
      </c>
      <c r="K264" s="30">
        <v>42872</v>
      </c>
      <c r="L264" s="8">
        <v>42872.44803240741</v>
      </c>
      <c r="M264" s="21">
        <f>LEN(ProjTextTable[[#This Row],[text]])</f>
        <v>4705</v>
      </c>
      <c r="N264" s="21">
        <f>LEN(TRIM(CLEAN(SUBSTITUTE(ProjTextTable[[#This Row],[text]],CHAR(10)," "))))+1 - LEN(SUBSTITUTE(CLEAN(SUBSTITUTE(ProjTextTable[[#This Row],[text]],CHAR(10)," "))," ",""))</f>
        <v>722</v>
      </c>
      <c r="O264" t="s">
        <v>202</v>
      </c>
      <c r="P264" t="s">
        <v>1337</v>
      </c>
    </row>
    <row r="265" spans="1:16">
      <c r="A265">
        <f t="shared" si="4"/>
        <v>40</v>
      </c>
      <c r="B265" t="s">
        <v>1331</v>
      </c>
      <c r="C265" t="s">
        <v>1332</v>
      </c>
      <c r="D265" t="s">
        <v>196</v>
      </c>
      <c r="E265" t="s">
        <v>540</v>
      </c>
      <c r="F265" t="s">
        <v>13</v>
      </c>
      <c r="G265" t="s">
        <v>13</v>
      </c>
      <c r="H265" t="s">
        <v>13</v>
      </c>
      <c r="K265" s="30"/>
      <c r="L265" s="8">
        <v>42810.042395833334</v>
      </c>
      <c r="M265" s="21">
        <f>LEN(ProjTextTable[[#This Row],[text]])</f>
        <v>3814</v>
      </c>
      <c r="N265" s="21">
        <f>LEN(TRIM(CLEAN(SUBSTITUTE(ProjTextTable[[#This Row],[text]],CHAR(10)," "))))+1 - LEN(SUBSTITUTE(CLEAN(SUBSTITUTE(ProjTextTable[[#This Row],[text]],CHAR(10)," "))," ",""))</f>
        <v>533</v>
      </c>
      <c r="O265" t="s">
        <v>13</v>
      </c>
      <c r="P265" t="s">
        <v>1338</v>
      </c>
    </row>
    <row r="266" spans="1:16">
      <c r="A266">
        <f t="shared" si="4"/>
        <v>41</v>
      </c>
      <c r="B266" t="s">
        <v>1339</v>
      </c>
      <c r="C266" t="s">
        <v>1340</v>
      </c>
      <c r="D266" t="s">
        <v>205</v>
      </c>
      <c r="E266" t="s">
        <v>543</v>
      </c>
      <c r="F266" t="s">
        <v>919</v>
      </c>
      <c r="G266" t="s">
        <v>920</v>
      </c>
      <c r="H266" t="s">
        <v>921</v>
      </c>
      <c r="I266" t="s">
        <v>193</v>
      </c>
      <c r="J266" t="s">
        <v>922</v>
      </c>
      <c r="K266" s="30">
        <v>42871</v>
      </c>
      <c r="L266" s="8">
        <v>42916.815636574072</v>
      </c>
      <c r="M266" s="21">
        <f>LEN(ProjTextTable[[#This Row],[text]])</f>
        <v>2791</v>
      </c>
      <c r="N266" s="21">
        <f>LEN(TRIM(CLEAN(SUBSTITUTE(ProjTextTable[[#This Row],[text]],CHAR(10)," "))))+1 - LEN(SUBSTITUTE(CLEAN(SUBSTITUTE(ProjTextTable[[#This Row],[text]],CHAR(10)," "))," ",""))</f>
        <v>411</v>
      </c>
      <c r="O266" t="s">
        <v>923</v>
      </c>
      <c r="P266" t="s">
        <v>1341</v>
      </c>
    </row>
    <row r="267" spans="1:16">
      <c r="A267">
        <f t="shared" si="4"/>
        <v>41</v>
      </c>
      <c r="B267" t="s">
        <v>1339</v>
      </c>
      <c r="C267" t="s">
        <v>1340</v>
      </c>
      <c r="D267" t="s">
        <v>2</v>
      </c>
      <c r="E267" t="s">
        <v>540</v>
      </c>
      <c r="F267" t="s">
        <v>13</v>
      </c>
      <c r="G267" t="s">
        <v>925</v>
      </c>
      <c r="H267" t="s">
        <v>13</v>
      </c>
      <c r="I267" t="s">
        <v>13</v>
      </c>
      <c r="K267" s="30"/>
      <c r="L267" s="8">
        <v>42914.639224537037</v>
      </c>
      <c r="M267" s="21">
        <f>LEN(ProjTextTable[[#This Row],[text]])</f>
        <v>1987</v>
      </c>
      <c r="N267" s="21">
        <f>LEN(TRIM(CLEAN(SUBSTITUTE(ProjTextTable[[#This Row],[text]],CHAR(10)," "))))+1 - LEN(SUBSTITUTE(CLEAN(SUBSTITUTE(ProjTextTable[[#This Row],[text]],CHAR(10)," "))," ",""))</f>
        <v>291</v>
      </c>
      <c r="O267" t="s">
        <v>13</v>
      </c>
      <c r="P267" t="s">
        <v>1342</v>
      </c>
    </row>
    <row r="268" spans="1:16">
      <c r="A268">
        <f t="shared" si="4"/>
        <v>41</v>
      </c>
      <c r="B268" t="s">
        <v>1339</v>
      </c>
      <c r="C268" t="s">
        <v>1340</v>
      </c>
      <c r="D268" t="s">
        <v>194</v>
      </c>
      <c r="E268" t="s">
        <v>543</v>
      </c>
      <c r="F268" t="s">
        <v>979</v>
      </c>
      <c r="G268" t="s">
        <v>980</v>
      </c>
      <c r="H268" t="s">
        <v>981</v>
      </c>
      <c r="I268" t="s">
        <v>95</v>
      </c>
      <c r="J268" t="s">
        <v>176</v>
      </c>
      <c r="K268" s="30">
        <v>42872</v>
      </c>
      <c r="L268" s="8">
        <v>42859.566064814811</v>
      </c>
      <c r="M268" s="21">
        <f>LEN(ProjTextTable[[#This Row],[text]])</f>
        <v>4476</v>
      </c>
      <c r="N268" s="21">
        <f>LEN(TRIM(CLEAN(SUBSTITUTE(ProjTextTable[[#This Row],[text]],CHAR(10)," "))))+1 - LEN(SUBSTITUTE(CLEAN(SUBSTITUTE(ProjTextTable[[#This Row],[text]],CHAR(10)," "))," ",""))</f>
        <v>680</v>
      </c>
      <c r="O268" t="s">
        <v>202</v>
      </c>
      <c r="P268" t="s">
        <v>1343</v>
      </c>
    </row>
    <row r="269" spans="1:16">
      <c r="A269">
        <f t="shared" si="4"/>
        <v>41</v>
      </c>
      <c r="B269" t="s">
        <v>1339</v>
      </c>
      <c r="C269" t="s">
        <v>1340</v>
      </c>
      <c r="D269" t="s">
        <v>194</v>
      </c>
      <c r="E269" t="s">
        <v>543</v>
      </c>
      <c r="F269" t="s">
        <v>997</v>
      </c>
      <c r="G269" t="s">
        <v>998</v>
      </c>
      <c r="H269" t="s">
        <v>999</v>
      </c>
      <c r="I269" t="s">
        <v>95</v>
      </c>
      <c r="J269" t="s">
        <v>176</v>
      </c>
      <c r="K269" s="30">
        <v>42872</v>
      </c>
      <c r="L269" s="8">
        <v>42872.493287037039</v>
      </c>
      <c r="M269" s="21">
        <f>LEN(ProjTextTable[[#This Row],[text]])</f>
        <v>8803</v>
      </c>
      <c r="N269" s="21">
        <f>LEN(TRIM(CLEAN(SUBSTITUTE(ProjTextTable[[#This Row],[text]],CHAR(10)," "))))+1 - LEN(SUBSTITUTE(CLEAN(SUBSTITUTE(ProjTextTable[[#This Row],[text]],CHAR(10)," "))," ",""))</f>
        <v>1351</v>
      </c>
      <c r="O269" t="s">
        <v>201</v>
      </c>
      <c r="P269" t="s">
        <v>1344</v>
      </c>
    </row>
    <row r="270" spans="1:16">
      <c r="A270">
        <f t="shared" si="4"/>
        <v>41</v>
      </c>
      <c r="B270" t="s">
        <v>1339</v>
      </c>
      <c r="C270" t="s">
        <v>1340</v>
      </c>
      <c r="D270" t="s">
        <v>194</v>
      </c>
      <c r="E270" t="s">
        <v>543</v>
      </c>
      <c r="F270" t="s">
        <v>1105</v>
      </c>
      <c r="G270" t="s">
        <v>1106</v>
      </c>
      <c r="H270" t="s">
        <v>1107</v>
      </c>
      <c r="I270" t="s">
        <v>95</v>
      </c>
      <c r="J270" t="s">
        <v>176</v>
      </c>
      <c r="K270" s="30">
        <v>42872</v>
      </c>
      <c r="L270" s="8">
        <v>42868.501064814816</v>
      </c>
      <c r="M270" s="21">
        <f>LEN(ProjTextTable[[#This Row],[text]])</f>
        <v>3222</v>
      </c>
      <c r="N270" s="21">
        <f>LEN(TRIM(CLEAN(SUBSTITUTE(ProjTextTable[[#This Row],[text]],CHAR(10)," "))))+1 - LEN(SUBSTITUTE(CLEAN(SUBSTITUTE(ProjTextTable[[#This Row],[text]],CHAR(10)," "))," ",""))</f>
        <v>479</v>
      </c>
      <c r="O270" t="s">
        <v>195</v>
      </c>
      <c r="P270" t="s">
        <v>1345</v>
      </c>
    </row>
    <row r="271" spans="1:16">
      <c r="A271">
        <f t="shared" si="4"/>
        <v>41</v>
      </c>
      <c r="B271" t="s">
        <v>1339</v>
      </c>
      <c r="C271" t="s">
        <v>1340</v>
      </c>
      <c r="D271" t="s">
        <v>196</v>
      </c>
      <c r="E271" t="s">
        <v>540</v>
      </c>
      <c r="F271" t="s">
        <v>13</v>
      </c>
      <c r="G271" t="s">
        <v>13</v>
      </c>
      <c r="H271" t="s">
        <v>13</v>
      </c>
      <c r="K271" s="30"/>
      <c r="L271" s="8">
        <v>42810.042395833334</v>
      </c>
      <c r="M271" s="21">
        <f>LEN(ProjTextTable[[#This Row],[text]])</f>
        <v>3399</v>
      </c>
      <c r="N271" s="21">
        <f>LEN(TRIM(CLEAN(SUBSTITUTE(ProjTextTable[[#This Row],[text]],CHAR(10)," "))))+1 - LEN(SUBSTITUTE(CLEAN(SUBSTITUTE(ProjTextTable[[#This Row],[text]],CHAR(10)," "))," ",""))</f>
        <v>474</v>
      </c>
      <c r="O271" t="s">
        <v>13</v>
      </c>
      <c r="P271" t="s">
        <v>1346</v>
      </c>
    </row>
    <row r="272" spans="1:16">
      <c r="A272">
        <f t="shared" si="4"/>
        <v>42</v>
      </c>
      <c r="B272" t="s">
        <v>1347</v>
      </c>
      <c r="C272" t="s">
        <v>1348</v>
      </c>
      <c r="D272" t="s">
        <v>205</v>
      </c>
      <c r="E272" t="s">
        <v>543</v>
      </c>
      <c r="F272" t="s">
        <v>919</v>
      </c>
      <c r="G272" t="s">
        <v>920</v>
      </c>
      <c r="H272" t="s">
        <v>921</v>
      </c>
      <c r="I272" t="s">
        <v>193</v>
      </c>
      <c r="J272" t="s">
        <v>922</v>
      </c>
      <c r="K272" s="30">
        <v>42871</v>
      </c>
      <c r="L272" s="8">
        <v>42916.815648148149</v>
      </c>
      <c r="M272" s="21">
        <f>LEN(ProjTextTable[[#This Row],[text]])</f>
        <v>2918</v>
      </c>
      <c r="N272" s="21">
        <f>LEN(TRIM(CLEAN(SUBSTITUTE(ProjTextTable[[#This Row],[text]],CHAR(10)," "))))+1 - LEN(SUBSTITUTE(CLEAN(SUBSTITUTE(ProjTextTable[[#This Row],[text]],CHAR(10)," "))," ",""))</f>
        <v>394</v>
      </c>
      <c r="O272" t="s">
        <v>923</v>
      </c>
      <c r="P272" t="s">
        <v>1349</v>
      </c>
    </row>
    <row r="273" spans="1:16">
      <c r="A273">
        <f t="shared" si="4"/>
        <v>42</v>
      </c>
      <c r="B273" t="s">
        <v>1347</v>
      </c>
      <c r="C273" t="s">
        <v>1348</v>
      </c>
      <c r="D273" t="s">
        <v>951</v>
      </c>
      <c r="E273" t="s">
        <v>540</v>
      </c>
      <c r="F273" t="s">
        <v>1347</v>
      </c>
      <c r="G273" t="s">
        <v>976</v>
      </c>
      <c r="H273" t="s">
        <v>13</v>
      </c>
      <c r="I273" t="s">
        <v>13</v>
      </c>
      <c r="J273" t="s">
        <v>396</v>
      </c>
      <c r="K273" s="30">
        <v>42955.712500000001</v>
      </c>
      <c r="L273" s="8">
        <v>44781.712500000001</v>
      </c>
      <c r="M273" s="21">
        <f>LEN(ProjTextTable[[#This Row],[text]])</f>
        <v>2107</v>
      </c>
      <c r="N273" s="21">
        <f>LEN(TRIM(CLEAN(SUBSTITUTE(ProjTextTable[[#This Row],[text]],CHAR(10)," "))))+1 - LEN(SUBSTITUTE(CLEAN(SUBSTITUTE(ProjTextTable[[#This Row],[text]],CHAR(10)," "))," ",""))</f>
        <v>332</v>
      </c>
      <c r="O273" t="s">
        <v>13</v>
      </c>
      <c r="P273" t="s">
        <v>977</v>
      </c>
    </row>
    <row r="274" spans="1:16">
      <c r="A274">
        <f t="shared" si="4"/>
        <v>42</v>
      </c>
      <c r="B274" t="s">
        <v>1347</v>
      </c>
      <c r="C274" t="s">
        <v>1348</v>
      </c>
      <c r="D274" t="s">
        <v>2</v>
      </c>
      <c r="E274" t="s">
        <v>540</v>
      </c>
      <c r="F274" t="s">
        <v>13</v>
      </c>
      <c r="G274" t="s">
        <v>925</v>
      </c>
      <c r="H274" t="s">
        <v>13</v>
      </c>
      <c r="I274" t="s">
        <v>13</v>
      </c>
      <c r="K274" s="30"/>
      <c r="L274" s="8">
        <v>42914.639282407406</v>
      </c>
      <c r="M274" s="21">
        <f>LEN(ProjTextTable[[#This Row],[text]])</f>
        <v>1955</v>
      </c>
      <c r="N274" s="21">
        <f>LEN(TRIM(CLEAN(SUBSTITUTE(ProjTextTable[[#This Row],[text]],CHAR(10)," "))))+1 - LEN(SUBSTITUTE(CLEAN(SUBSTITUTE(ProjTextTable[[#This Row],[text]],CHAR(10)," "))," ",""))</f>
        <v>291</v>
      </c>
      <c r="O274" t="s">
        <v>13</v>
      </c>
      <c r="P274" t="s">
        <v>1350</v>
      </c>
    </row>
    <row r="275" spans="1:16">
      <c r="A275">
        <f t="shared" si="4"/>
        <v>42</v>
      </c>
      <c r="B275" t="s">
        <v>1347</v>
      </c>
      <c r="C275" t="s">
        <v>1348</v>
      </c>
      <c r="D275" t="s">
        <v>194</v>
      </c>
      <c r="E275" t="s">
        <v>543</v>
      </c>
      <c r="F275" t="s">
        <v>989</v>
      </c>
      <c r="G275" t="s">
        <v>990</v>
      </c>
      <c r="H275" t="s">
        <v>991</v>
      </c>
      <c r="I275" t="s">
        <v>95</v>
      </c>
      <c r="J275" t="s">
        <v>176</v>
      </c>
      <c r="K275" s="30">
        <v>42872</v>
      </c>
      <c r="L275" s="8">
        <v>42872.141539351855</v>
      </c>
      <c r="M275" s="21">
        <f>LEN(ProjTextTable[[#This Row],[text]])</f>
        <v>4432</v>
      </c>
      <c r="N275" s="21">
        <f>LEN(TRIM(CLEAN(SUBSTITUTE(ProjTextTable[[#This Row],[text]],CHAR(10)," "))))+1 - LEN(SUBSTITUTE(CLEAN(SUBSTITUTE(ProjTextTable[[#This Row],[text]],CHAR(10)," "))," ",""))</f>
        <v>698</v>
      </c>
      <c r="O275" t="s">
        <v>199</v>
      </c>
      <c r="P275" t="s">
        <v>1351</v>
      </c>
    </row>
    <row r="276" spans="1:16">
      <c r="A276">
        <f t="shared" si="4"/>
        <v>42</v>
      </c>
      <c r="B276" t="s">
        <v>1347</v>
      </c>
      <c r="C276" t="s">
        <v>1348</v>
      </c>
      <c r="D276" t="s">
        <v>194</v>
      </c>
      <c r="E276" t="s">
        <v>543</v>
      </c>
      <c r="F276" t="s">
        <v>997</v>
      </c>
      <c r="G276" t="s">
        <v>998</v>
      </c>
      <c r="H276" t="s">
        <v>999</v>
      </c>
      <c r="I276" t="s">
        <v>95</v>
      </c>
      <c r="J276" t="s">
        <v>176</v>
      </c>
      <c r="K276" s="30">
        <v>42872</v>
      </c>
      <c r="L276" s="8">
        <v>42871.878483796296</v>
      </c>
      <c r="M276" s="21">
        <f>LEN(ProjTextTable[[#This Row],[text]])</f>
        <v>7096</v>
      </c>
      <c r="N276" s="21">
        <f>LEN(TRIM(CLEAN(SUBSTITUTE(ProjTextTable[[#This Row],[text]],CHAR(10)," "))))+1 - LEN(SUBSTITUTE(CLEAN(SUBSTITUTE(ProjTextTable[[#This Row],[text]],CHAR(10)," "))," ",""))</f>
        <v>1098</v>
      </c>
      <c r="O276" t="s">
        <v>195</v>
      </c>
      <c r="P276" t="s">
        <v>1352</v>
      </c>
    </row>
    <row r="277" spans="1:16">
      <c r="A277">
        <f t="shared" si="4"/>
        <v>42</v>
      </c>
      <c r="B277" t="s">
        <v>1347</v>
      </c>
      <c r="C277" t="s">
        <v>1348</v>
      </c>
      <c r="D277" t="s">
        <v>194</v>
      </c>
      <c r="E277" t="s">
        <v>543</v>
      </c>
      <c r="F277" t="s">
        <v>935</v>
      </c>
      <c r="G277" t="s">
        <v>936</v>
      </c>
      <c r="H277" t="s">
        <v>937</v>
      </c>
      <c r="I277" t="s">
        <v>95</v>
      </c>
      <c r="J277" t="s">
        <v>176</v>
      </c>
      <c r="K277" s="30">
        <v>42872</v>
      </c>
      <c r="L277" s="8">
        <v>42872.521180555559</v>
      </c>
      <c r="M277" s="21">
        <f>LEN(ProjTextTable[[#This Row],[text]])</f>
        <v>7048</v>
      </c>
      <c r="N277" s="21">
        <f>LEN(TRIM(CLEAN(SUBSTITUTE(ProjTextTable[[#This Row],[text]],CHAR(10)," "))))+1 - LEN(SUBSTITUTE(CLEAN(SUBSTITUTE(ProjTextTable[[#This Row],[text]],CHAR(10)," "))," ",""))</f>
        <v>947</v>
      </c>
      <c r="O277" t="s">
        <v>195</v>
      </c>
      <c r="P277" t="s">
        <v>1353</v>
      </c>
    </row>
    <row r="278" spans="1:16">
      <c r="A278">
        <f t="shared" si="4"/>
        <v>42</v>
      </c>
      <c r="B278" t="s">
        <v>1347</v>
      </c>
      <c r="C278" t="s">
        <v>1348</v>
      </c>
      <c r="D278" t="s">
        <v>196</v>
      </c>
      <c r="E278" t="s">
        <v>540</v>
      </c>
      <c r="F278" t="s">
        <v>13</v>
      </c>
      <c r="G278" t="s">
        <v>13</v>
      </c>
      <c r="H278" t="s">
        <v>13</v>
      </c>
      <c r="K278" s="30"/>
      <c r="L278" s="8">
        <v>42810.042395833334</v>
      </c>
      <c r="M278" s="21">
        <f>LEN(ProjTextTable[[#This Row],[text]])</f>
        <v>4752</v>
      </c>
      <c r="N278" s="21">
        <f>LEN(TRIM(CLEAN(SUBSTITUTE(ProjTextTable[[#This Row],[text]],CHAR(10)," "))))+1 - LEN(SUBSTITUTE(CLEAN(SUBSTITUTE(ProjTextTable[[#This Row],[text]],CHAR(10)," "))," ",""))</f>
        <v>677</v>
      </c>
      <c r="O278" t="s">
        <v>13</v>
      </c>
      <c r="P278" t="s">
        <v>1354</v>
      </c>
    </row>
    <row r="279" spans="1:16">
      <c r="A279">
        <f t="shared" si="4"/>
        <v>43</v>
      </c>
      <c r="B279" t="s">
        <v>1355</v>
      </c>
      <c r="C279" t="s">
        <v>1356</v>
      </c>
      <c r="D279" t="s">
        <v>205</v>
      </c>
      <c r="E279" t="s">
        <v>942</v>
      </c>
      <c r="F279" t="s">
        <v>943</v>
      </c>
      <c r="G279" t="s">
        <v>944</v>
      </c>
      <c r="H279" t="s">
        <v>921</v>
      </c>
      <c r="I279" t="s">
        <v>193</v>
      </c>
      <c r="J279" t="s">
        <v>396</v>
      </c>
      <c r="K279" s="30">
        <v>42877</v>
      </c>
      <c r="L279" s="8">
        <v>42916.815648148149</v>
      </c>
      <c r="M279" s="21">
        <f>LEN(ProjTextTable[[#This Row],[text]])</f>
        <v>4013</v>
      </c>
      <c r="N279" s="21">
        <f>LEN(TRIM(CLEAN(SUBSTITUTE(ProjTextTable[[#This Row],[text]],CHAR(10)," "))))+1 - LEN(SUBSTITUTE(CLEAN(SUBSTITUTE(ProjTextTable[[#This Row],[text]],CHAR(10)," "))," ",""))</f>
        <v>580</v>
      </c>
      <c r="O279" t="s">
        <v>923</v>
      </c>
      <c r="P279" t="s">
        <v>1357</v>
      </c>
    </row>
    <row r="280" spans="1:16">
      <c r="A280">
        <f t="shared" si="4"/>
        <v>43</v>
      </c>
      <c r="B280" t="s">
        <v>1355</v>
      </c>
      <c r="C280" t="s">
        <v>1356</v>
      </c>
      <c r="D280" t="s">
        <v>2</v>
      </c>
      <c r="E280" t="s">
        <v>543</v>
      </c>
      <c r="F280" t="s">
        <v>13</v>
      </c>
      <c r="G280" t="s">
        <v>925</v>
      </c>
      <c r="H280" t="s">
        <v>13</v>
      </c>
      <c r="I280" t="s">
        <v>13</v>
      </c>
      <c r="K280" s="30"/>
      <c r="L280" s="8">
        <v>42951.621724537035</v>
      </c>
      <c r="M280" s="21">
        <f>LEN(ProjTextTable[[#This Row],[text]])</f>
        <v>4855</v>
      </c>
      <c r="N280" s="21">
        <f>LEN(TRIM(CLEAN(SUBSTITUTE(ProjTextTable[[#This Row],[text]],CHAR(10)," "))))+1 - LEN(SUBSTITUTE(CLEAN(SUBSTITUTE(ProjTextTable[[#This Row],[text]],CHAR(10)," "))," ",""))</f>
        <v>719</v>
      </c>
      <c r="O280" t="s">
        <v>13</v>
      </c>
      <c r="P280" t="s">
        <v>1358</v>
      </c>
    </row>
    <row r="281" spans="1:16">
      <c r="A281">
        <f t="shared" si="4"/>
        <v>43</v>
      </c>
      <c r="B281" t="s">
        <v>1355</v>
      </c>
      <c r="C281" t="s">
        <v>1356</v>
      </c>
      <c r="D281" t="s">
        <v>194</v>
      </c>
      <c r="E281" t="s">
        <v>543</v>
      </c>
      <c r="F281" t="s">
        <v>1067</v>
      </c>
      <c r="G281" t="s">
        <v>1068</v>
      </c>
      <c r="H281" t="s">
        <v>1069</v>
      </c>
      <c r="I281" t="s">
        <v>95</v>
      </c>
      <c r="J281" t="s">
        <v>176</v>
      </c>
      <c r="K281" s="30">
        <v>42878</v>
      </c>
      <c r="L281" s="8">
        <v>42877.048321759263</v>
      </c>
      <c r="M281" s="21">
        <f>LEN(ProjTextTable[[#This Row],[text]])</f>
        <v>2952</v>
      </c>
      <c r="N281" s="21">
        <f>LEN(TRIM(CLEAN(SUBSTITUTE(ProjTextTable[[#This Row],[text]],CHAR(10)," "))))+1 - LEN(SUBSTITUTE(CLEAN(SUBSTITUTE(ProjTextTable[[#This Row],[text]],CHAR(10)," "))," ",""))</f>
        <v>428</v>
      </c>
      <c r="O281" t="s">
        <v>195</v>
      </c>
      <c r="P281" t="s">
        <v>1359</v>
      </c>
    </row>
    <row r="282" spans="1:16">
      <c r="A282">
        <f t="shared" si="4"/>
        <v>43</v>
      </c>
      <c r="B282" t="s">
        <v>1355</v>
      </c>
      <c r="C282" t="s">
        <v>1356</v>
      </c>
      <c r="D282" t="s">
        <v>194</v>
      </c>
      <c r="E282" t="s">
        <v>543</v>
      </c>
      <c r="F282" t="s">
        <v>1010</v>
      </c>
      <c r="G282" t="s">
        <v>1011</v>
      </c>
      <c r="H282" t="s">
        <v>1012</v>
      </c>
      <c r="I282" t="s">
        <v>95</v>
      </c>
      <c r="J282" t="s">
        <v>176</v>
      </c>
      <c r="K282" s="30">
        <v>42878</v>
      </c>
      <c r="L282" s="8">
        <v>42876.561828703707</v>
      </c>
      <c r="M282" s="21">
        <f>LEN(ProjTextTable[[#This Row],[text]])</f>
        <v>1925</v>
      </c>
      <c r="N282" s="21">
        <f>LEN(TRIM(CLEAN(SUBSTITUTE(ProjTextTable[[#This Row],[text]],CHAR(10)," "))))+1 - LEN(SUBSTITUTE(CLEAN(SUBSTITUTE(ProjTextTable[[#This Row],[text]],CHAR(10)," "))," ",""))</f>
        <v>278</v>
      </c>
      <c r="O282" t="s">
        <v>201</v>
      </c>
      <c r="P282" t="s">
        <v>1360</v>
      </c>
    </row>
    <row r="283" spans="1:16">
      <c r="A283">
        <f t="shared" si="4"/>
        <v>43</v>
      </c>
      <c r="B283" t="s">
        <v>1355</v>
      </c>
      <c r="C283" t="s">
        <v>1356</v>
      </c>
      <c r="D283" t="s">
        <v>194</v>
      </c>
      <c r="E283" t="s">
        <v>543</v>
      </c>
      <c r="F283" t="s">
        <v>1227</v>
      </c>
      <c r="G283" t="s">
        <v>1228</v>
      </c>
      <c r="H283" t="s">
        <v>1229</v>
      </c>
      <c r="I283" t="s">
        <v>95</v>
      </c>
      <c r="J283" t="s">
        <v>176</v>
      </c>
      <c r="K283" s="30">
        <v>42878</v>
      </c>
      <c r="L283" s="8">
        <v>42874.590648148151</v>
      </c>
      <c r="M283" s="21">
        <f>LEN(ProjTextTable[[#This Row],[text]])</f>
        <v>9005</v>
      </c>
      <c r="N283" s="21">
        <f>LEN(TRIM(CLEAN(SUBSTITUTE(ProjTextTable[[#This Row],[text]],CHAR(10)," "))))+1 - LEN(SUBSTITUTE(CLEAN(SUBSTITUTE(ProjTextTable[[#This Row],[text]],CHAR(10)," "))," ",""))</f>
        <v>1339</v>
      </c>
      <c r="O283" t="s">
        <v>251</v>
      </c>
      <c r="P283" t="s">
        <v>1361</v>
      </c>
    </row>
    <row r="284" spans="1:16">
      <c r="A284">
        <f t="shared" si="4"/>
        <v>43</v>
      </c>
      <c r="B284" t="s">
        <v>1355</v>
      </c>
      <c r="C284" t="s">
        <v>1356</v>
      </c>
      <c r="D284" t="s">
        <v>196</v>
      </c>
      <c r="E284" t="s">
        <v>543</v>
      </c>
      <c r="F284" t="s">
        <v>13</v>
      </c>
      <c r="G284" t="s">
        <v>13</v>
      </c>
      <c r="H284" t="s">
        <v>13</v>
      </c>
      <c r="K284" s="30"/>
      <c r="L284" s="8">
        <v>42810.042395833334</v>
      </c>
      <c r="M284" s="21">
        <f>LEN(ProjTextTable[[#This Row],[text]])</f>
        <v>4468</v>
      </c>
      <c r="N284" s="21">
        <f>LEN(TRIM(CLEAN(SUBSTITUTE(ProjTextTable[[#This Row],[text]],CHAR(10)," "))))+1 - LEN(SUBSTITUTE(CLEAN(SUBSTITUTE(ProjTextTable[[#This Row],[text]],CHAR(10)," "))," ",""))</f>
        <v>613</v>
      </c>
      <c r="O284" t="s">
        <v>13</v>
      </c>
      <c r="P284" t="s">
        <v>1362</v>
      </c>
    </row>
    <row r="285" spans="1:16">
      <c r="A285">
        <f t="shared" si="4"/>
        <v>44</v>
      </c>
      <c r="B285" t="s">
        <v>1363</v>
      </c>
      <c r="C285" t="s">
        <v>1364</v>
      </c>
      <c r="D285" t="s">
        <v>205</v>
      </c>
      <c r="E285" t="s">
        <v>543</v>
      </c>
      <c r="F285" t="s">
        <v>919</v>
      </c>
      <c r="G285" t="s">
        <v>920</v>
      </c>
      <c r="H285" t="s">
        <v>921</v>
      </c>
      <c r="I285" t="s">
        <v>193</v>
      </c>
      <c r="J285" t="s">
        <v>922</v>
      </c>
      <c r="K285" s="30">
        <v>42871</v>
      </c>
      <c r="L285" s="8">
        <v>42916.815648148149</v>
      </c>
      <c r="M285" s="21">
        <f>LEN(ProjTextTable[[#This Row],[text]])</f>
        <v>3267</v>
      </c>
      <c r="N285" s="21">
        <f>LEN(TRIM(CLEAN(SUBSTITUTE(ProjTextTable[[#This Row],[text]],CHAR(10)," "))))+1 - LEN(SUBSTITUTE(CLEAN(SUBSTITUTE(ProjTextTable[[#This Row],[text]],CHAR(10)," "))," ",""))</f>
        <v>461</v>
      </c>
      <c r="O285" t="s">
        <v>923</v>
      </c>
      <c r="P285" t="s">
        <v>1365</v>
      </c>
    </row>
    <row r="286" spans="1:16">
      <c r="A286">
        <f t="shared" si="4"/>
        <v>44</v>
      </c>
      <c r="B286" t="s">
        <v>1363</v>
      </c>
      <c r="C286" t="s">
        <v>1364</v>
      </c>
      <c r="D286" t="s">
        <v>2</v>
      </c>
      <c r="E286" t="s">
        <v>543</v>
      </c>
      <c r="F286" t="s">
        <v>13</v>
      </c>
      <c r="G286" t="s">
        <v>925</v>
      </c>
      <c r="H286" t="s">
        <v>13</v>
      </c>
      <c r="I286" t="s">
        <v>13</v>
      </c>
      <c r="K286" s="30"/>
      <c r="L286" s="8">
        <v>42951.541817129626</v>
      </c>
      <c r="M286" s="21">
        <f>LEN(ProjTextTable[[#This Row],[text]])</f>
        <v>4592</v>
      </c>
      <c r="N286" s="21">
        <f>LEN(TRIM(CLEAN(SUBSTITUTE(ProjTextTable[[#This Row],[text]],CHAR(10)," "))))+1 - LEN(SUBSTITUTE(CLEAN(SUBSTITUTE(ProjTextTable[[#This Row],[text]],CHAR(10)," "))," ",""))</f>
        <v>679</v>
      </c>
      <c r="O286" t="s">
        <v>13</v>
      </c>
      <c r="P286" t="s">
        <v>926</v>
      </c>
    </row>
    <row r="287" spans="1:16">
      <c r="A287">
        <f t="shared" si="4"/>
        <v>44</v>
      </c>
      <c r="B287" t="s">
        <v>1363</v>
      </c>
      <c r="C287" t="s">
        <v>1364</v>
      </c>
      <c r="D287" t="s">
        <v>194</v>
      </c>
      <c r="E287" t="s">
        <v>543</v>
      </c>
      <c r="F287" t="s">
        <v>927</v>
      </c>
      <c r="G287" t="s">
        <v>928</v>
      </c>
      <c r="H287" t="s">
        <v>929</v>
      </c>
      <c r="I287" t="s">
        <v>95</v>
      </c>
      <c r="J287" t="s">
        <v>176</v>
      </c>
      <c r="K287" s="30">
        <v>42872</v>
      </c>
      <c r="L287" s="8">
        <v>42868.614849537036</v>
      </c>
      <c r="M287" s="21">
        <f>LEN(ProjTextTable[[#This Row],[text]])</f>
        <v>2438</v>
      </c>
      <c r="N287" s="21">
        <f>LEN(TRIM(CLEAN(SUBSTITUTE(ProjTextTable[[#This Row],[text]],CHAR(10)," "))))+1 - LEN(SUBSTITUTE(CLEAN(SUBSTITUTE(ProjTextTable[[#This Row],[text]],CHAR(10)," "))," ",""))</f>
        <v>337</v>
      </c>
      <c r="O287" t="s">
        <v>195</v>
      </c>
      <c r="P287" t="s">
        <v>1366</v>
      </c>
    </row>
    <row r="288" spans="1:16">
      <c r="A288">
        <f t="shared" si="4"/>
        <v>44</v>
      </c>
      <c r="B288" t="s">
        <v>1363</v>
      </c>
      <c r="C288" t="s">
        <v>1364</v>
      </c>
      <c r="D288" t="s">
        <v>194</v>
      </c>
      <c r="E288" t="s">
        <v>543</v>
      </c>
      <c r="F288" t="s">
        <v>979</v>
      </c>
      <c r="G288" t="s">
        <v>980</v>
      </c>
      <c r="H288" t="s">
        <v>981</v>
      </c>
      <c r="I288" t="s">
        <v>95</v>
      </c>
      <c r="J288" t="s">
        <v>176</v>
      </c>
      <c r="K288" s="30">
        <v>42872</v>
      </c>
      <c r="L288" s="8">
        <v>42859.702696759261</v>
      </c>
      <c r="M288" s="21">
        <f>LEN(ProjTextTable[[#This Row],[text]])</f>
        <v>4395</v>
      </c>
      <c r="N288" s="21">
        <f>LEN(TRIM(CLEAN(SUBSTITUTE(ProjTextTable[[#This Row],[text]],CHAR(10)," "))))+1 - LEN(SUBSTITUTE(CLEAN(SUBSTITUTE(ProjTextTable[[#This Row],[text]],CHAR(10)," "))," ",""))</f>
        <v>658</v>
      </c>
      <c r="O288" t="s">
        <v>195</v>
      </c>
      <c r="P288" t="s">
        <v>1367</v>
      </c>
    </row>
    <row r="289" spans="1:16">
      <c r="A289">
        <f t="shared" si="4"/>
        <v>44</v>
      </c>
      <c r="B289" t="s">
        <v>1363</v>
      </c>
      <c r="C289" t="s">
        <v>1364</v>
      </c>
      <c r="D289" t="s">
        <v>194</v>
      </c>
      <c r="E289" t="s">
        <v>543</v>
      </c>
      <c r="F289" t="s">
        <v>1127</v>
      </c>
      <c r="G289" t="s">
        <v>1128</v>
      </c>
      <c r="H289" t="s">
        <v>1129</v>
      </c>
      <c r="I289" t="s">
        <v>95</v>
      </c>
      <c r="J289" t="s">
        <v>176</v>
      </c>
      <c r="K289" s="30">
        <v>42872</v>
      </c>
      <c r="L289" s="8">
        <v>42870.580428240741</v>
      </c>
      <c r="M289" s="21">
        <f>LEN(ProjTextTable[[#This Row],[text]])</f>
        <v>2927</v>
      </c>
      <c r="N289" s="21">
        <f>LEN(TRIM(CLEAN(SUBSTITUTE(ProjTextTable[[#This Row],[text]],CHAR(10)," "))))+1 - LEN(SUBSTITUTE(CLEAN(SUBSTITUTE(ProjTextTable[[#This Row],[text]],CHAR(10)," "))," ",""))</f>
        <v>452</v>
      </c>
      <c r="O289" t="s">
        <v>212</v>
      </c>
      <c r="P289" t="s">
        <v>1368</v>
      </c>
    </row>
    <row r="290" spans="1:16">
      <c r="A290">
        <f t="shared" si="4"/>
        <v>44</v>
      </c>
      <c r="B290" t="s">
        <v>1363</v>
      </c>
      <c r="C290" t="s">
        <v>1364</v>
      </c>
      <c r="D290" t="s">
        <v>194</v>
      </c>
      <c r="E290" t="s">
        <v>543</v>
      </c>
      <c r="F290" t="s">
        <v>931</v>
      </c>
      <c r="G290" t="s">
        <v>932</v>
      </c>
      <c r="H290" t="s">
        <v>933</v>
      </c>
      <c r="I290" t="s">
        <v>95</v>
      </c>
      <c r="J290" t="s">
        <v>176</v>
      </c>
      <c r="K290" s="30">
        <v>42872</v>
      </c>
      <c r="L290" s="8">
        <v>42871.273634259262</v>
      </c>
      <c r="M290" s="21">
        <f>LEN(ProjTextTable[[#This Row],[text]])</f>
        <v>2859</v>
      </c>
      <c r="N290" s="21">
        <f>LEN(TRIM(CLEAN(SUBSTITUTE(ProjTextTable[[#This Row],[text]],CHAR(10)," "))))+1 - LEN(SUBSTITUTE(CLEAN(SUBSTITUTE(ProjTextTable[[#This Row],[text]],CHAR(10)," "))," ",""))</f>
        <v>408</v>
      </c>
      <c r="O290" t="s">
        <v>195</v>
      </c>
      <c r="P290" t="s">
        <v>1369</v>
      </c>
    </row>
    <row r="291" spans="1:16">
      <c r="A291">
        <f t="shared" si="4"/>
        <v>44</v>
      </c>
      <c r="B291" t="s">
        <v>1363</v>
      </c>
      <c r="C291" t="s">
        <v>1364</v>
      </c>
      <c r="D291" t="s">
        <v>194</v>
      </c>
      <c r="E291" t="s">
        <v>543</v>
      </c>
      <c r="F291" t="s">
        <v>997</v>
      </c>
      <c r="G291" t="s">
        <v>998</v>
      </c>
      <c r="H291" t="s">
        <v>999</v>
      </c>
      <c r="I291" t="s">
        <v>95</v>
      </c>
      <c r="J291" t="s">
        <v>176</v>
      </c>
      <c r="K291" s="30">
        <v>42872</v>
      </c>
      <c r="L291" s="8">
        <v>42871.899039351854</v>
      </c>
      <c r="M291" s="21">
        <f>LEN(ProjTextTable[[#This Row],[text]])</f>
        <v>6983</v>
      </c>
      <c r="N291" s="21">
        <f>LEN(TRIM(CLEAN(SUBSTITUTE(ProjTextTable[[#This Row],[text]],CHAR(10)," "))))+1 - LEN(SUBSTITUTE(CLEAN(SUBSTITUTE(ProjTextTable[[#This Row],[text]],CHAR(10)," "))," ",""))</f>
        <v>1082</v>
      </c>
      <c r="O291" t="s">
        <v>201</v>
      </c>
      <c r="P291" t="s">
        <v>1370</v>
      </c>
    </row>
    <row r="292" spans="1:16">
      <c r="A292">
        <f t="shared" si="4"/>
        <v>44</v>
      </c>
      <c r="B292" t="s">
        <v>1363</v>
      </c>
      <c r="C292" t="s">
        <v>1364</v>
      </c>
      <c r="D292" t="s">
        <v>196</v>
      </c>
      <c r="E292" t="s">
        <v>543</v>
      </c>
      <c r="F292" t="s">
        <v>13</v>
      </c>
      <c r="G292" t="s">
        <v>13</v>
      </c>
      <c r="H292" t="s">
        <v>13</v>
      </c>
      <c r="K292" s="30"/>
      <c r="L292" s="8">
        <v>42810.042395833334</v>
      </c>
      <c r="M292" s="21">
        <f>LEN(ProjTextTable[[#This Row],[text]])</f>
        <v>3189</v>
      </c>
      <c r="N292" s="21">
        <f>LEN(TRIM(CLEAN(SUBSTITUTE(ProjTextTable[[#This Row],[text]],CHAR(10)," "))))+1 - LEN(SUBSTITUTE(CLEAN(SUBSTITUTE(ProjTextTable[[#This Row],[text]],CHAR(10)," "))," ",""))</f>
        <v>450</v>
      </c>
      <c r="O292" t="s">
        <v>13</v>
      </c>
      <c r="P292" t="s">
        <v>1371</v>
      </c>
    </row>
    <row r="293" spans="1:16">
      <c r="A293">
        <f t="shared" si="4"/>
        <v>45</v>
      </c>
      <c r="B293" t="s">
        <v>1372</v>
      </c>
      <c r="C293" t="s">
        <v>1053</v>
      </c>
      <c r="D293" t="s">
        <v>205</v>
      </c>
      <c r="E293" t="s">
        <v>543</v>
      </c>
      <c r="F293" t="s">
        <v>919</v>
      </c>
      <c r="G293" t="s">
        <v>920</v>
      </c>
      <c r="H293" t="s">
        <v>945</v>
      </c>
      <c r="I293" t="s">
        <v>95</v>
      </c>
      <c r="J293" t="s">
        <v>197</v>
      </c>
      <c r="K293" s="30">
        <v>42871</v>
      </c>
      <c r="L293" s="8">
        <v>42928.673472222225</v>
      </c>
      <c r="M293" s="21">
        <f>LEN(ProjTextTable[[#This Row],[text]])</f>
        <v>3531</v>
      </c>
      <c r="N293" s="21">
        <f>LEN(TRIM(CLEAN(SUBSTITUTE(ProjTextTable[[#This Row],[text]],CHAR(10)," "))))+1 - LEN(SUBSTITUTE(CLEAN(SUBSTITUTE(ProjTextTable[[#This Row],[text]],CHAR(10)," "))," ",""))</f>
        <v>507</v>
      </c>
      <c r="O293" t="s">
        <v>946</v>
      </c>
      <c r="P293" t="s">
        <v>1373</v>
      </c>
    </row>
    <row r="294" spans="1:16">
      <c r="A294">
        <f t="shared" si="4"/>
        <v>45</v>
      </c>
      <c r="B294" t="s">
        <v>1372</v>
      </c>
      <c r="C294" t="s">
        <v>1053</v>
      </c>
      <c r="D294" t="s">
        <v>397</v>
      </c>
      <c r="E294" t="s">
        <v>942</v>
      </c>
      <c r="F294" t="s">
        <v>13</v>
      </c>
      <c r="G294" t="s">
        <v>949</v>
      </c>
      <c r="H294" t="s">
        <v>13</v>
      </c>
      <c r="I294" t="s">
        <v>13</v>
      </c>
      <c r="K294" s="30"/>
      <c r="L294" s="8">
        <v>42930.561365740738</v>
      </c>
      <c r="M294" s="21">
        <f>LEN(ProjTextTable[[#This Row],[text]])</f>
        <v>3247</v>
      </c>
      <c r="N294" s="21">
        <f>LEN(TRIM(CLEAN(SUBSTITUTE(ProjTextTable[[#This Row],[text]],CHAR(10)," "))))+1 - LEN(SUBSTITUTE(CLEAN(SUBSTITUTE(ProjTextTable[[#This Row],[text]],CHAR(10)," "))," ",""))</f>
        <v>431</v>
      </c>
      <c r="O294" t="s">
        <v>13</v>
      </c>
      <c r="P294" t="s">
        <v>1374</v>
      </c>
    </row>
    <row r="295" spans="1:16">
      <c r="A295">
        <f t="shared" si="4"/>
        <v>45</v>
      </c>
      <c r="B295" t="s">
        <v>1372</v>
      </c>
      <c r="C295" t="s">
        <v>1053</v>
      </c>
      <c r="D295" t="s">
        <v>951</v>
      </c>
      <c r="E295" t="s">
        <v>942</v>
      </c>
      <c r="F295" t="s">
        <v>1372</v>
      </c>
      <c r="G295" t="s">
        <v>969</v>
      </c>
      <c r="H295" t="s">
        <v>13</v>
      </c>
      <c r="I295" t="s">
        <v>13</v>
      </c>
      <c r="J295" t="s">
        <v>953</v>
      </c>
      <c r="K295" s="30">
        <v>42929.34097222222</v>
      </c>
      <c r="L295" s="8">
        <v>44755.34097222222</v>
      </c>
      <c r="M295" s="21">
        <f>LEN(ProjTextTable[[#This Row],[text]])</f>
        <v>6694</v>
      </c>
      <c r="N295" s="21">
        <f>LEN(TRIM(CLEAN(SUBSTITUTE(ProjTextTable[[#This Row],[text]],CHAR(10)," "))))+1 - LEN(SUBSTITUTE(CLEAN(SUBSTITUTE(ProjTextTable[[#This Row],[text]],CHAR(10)," "))," ",""))</f>
        <v>963</v>
      </c>
      <c r="O295" t="s">
        <v>13</v>
      </c>
      <c r="P295" t="s">
        <v>1375</v>
      </c>
    </row>
    <row r="296" spans="1:16">
      <c r="A296">
        <f t="shared" si="4"/>
        <v>45</v>
      </c>
      <c r="B296" t="s">
        <v>1372</v>
      </c>
      <c r="C296" t="s">
        <v>1053</v>
      </c>
      <c r="D296" t="s">
        <v>194</v>
      </c>
      <c r="E296" t="s">
        <v>543</v>
      </c>
      <c r="F296" t="s">
        <v>1127</v>
      </c>
      <c r="G296" t="s">
        <v>1128</v>
      </c>
      <c r="H296" t="s">
        <v>1129</v>
      </c>
      <c r="I296" t="s">
        <v>95</v>
      </c>
      <c r="J296" t="s">
        <v>176</v>
      </c>
      <c r="K296" s="30">
        <v>42872</v>
      </c>
      <c r="L296" s="8">
        <v>42870.514988425923</v>
      </c>
      <c r="M296" s="21">
        <f>LEN(ProjTextTable[[#This Row],[text]])</f>
        <v>5364</v>
      </c>
      <c r="N296" s="21">
        <f>LEN(TRIM(CLEAN(SUBSTITUTE(ProjTextTable[[#This Row],[text]],CHAR(10)," "))))+1 - LEN(SUBSTITUTE(CLEAN(SUBSTITUTE(ProjTextTable[[#This Row],[text]],CHAR(10)," "))," ",""))</f>
        <v>817</v>
      </c>
      <c r="O296" t="s">
        <v>198</v>
      </c>
      <c r="P296" t="s">
        <v>1376</v>
      </c>
    </row>
    <row r="297" spans="1:16">
      <c r="A297">
        <f t="shared" si="4"/>
        <v>45</v>
      </c>
      <c r="B297" t="s">
        <v>1372</v>
      </c>
      <c r="C297" t="s">
        <v>1053</v>
      </c>
      <c r="D297" t="s">
        <v>194</v>
      </c>
      <c r="E297" t="s">
        <v>543</v>
      </c>
      <c r="F297" t="s">
        <v>931</v>
      </c>
      <c r="G297" t="s">
        <v>932</v>
      </c>
      <c r="H297" t="s">
        <v>933</v>
      </c>
      <c r="I297" t="s">
        <v>95</v>
      </c>
      <c r="J297" t="s">
        <v>176</v>
      </c>
      <c r="K297" s="30">
        <v>42872</v>
      </c>
      <c r="L297" s="8">
        <v>42872.385972222219</v>
      </c>
      <c r="M297" s="21">
        <f>LEN(ProjTextTable[[#This Row],[text]])</f>
        <v>2849</v>
      </c>
      <c r="N297" s="21">
        <f>LEN(TRIM(CLEAN(SUBSTITUTE(ProjTextTable[[#This Row],[text]],CHAR(10)," "))))+1 - LEN(SUBSTITUTE(CLEAN(SUBSTITUTE(ProjTextTable[[#This Row],[text]],CHAR(10)," "))," ",""))</f>
        <v>424</v>
      </c>
      <c r="O297" t="s">
        <v>195</v>
      </c>
      <c r="P297" t="s">
        <v>1377</v>
      </c>
    </row>
    <row r="298" spans="1:16">
      <c r="A298">
        <f t="shared" si="4"/>
        <v>45</v>
      </c>
      <c r="B298" t="s">
        <v>1372</v>
      </c>
      <c r="C298" t="s">
        <v>1053</v>
      </c>
      <c r="D298" t="s">
        <v>194</v>
      </c>
      <c r="E298" t="s">
        <v>543</v>
      </c>
      <c r="F298" t="s">
        <v>935</v>
      </c>
      <c r="G298" t="s">
        <v>936</v>
      </c>
      <c r="H298" t="s">
        <v>937</v>
      </c>
      <c r="I298" t="s">
        <v>95</v>
      </c>
      <c r="J298" t="s">
        <v>176</v>
      </c>
      <c r="K298" s="30">
        <v>42872</v>
      </c>
      <c r="L298" s="8">
        <v>42872.532777777778</v>
      </c>
      <c r="M298" s="21">
        <f>LEN(ProjTextTable[[#This Row],[text]])</f>
        <v>4378</v>
      </c>
      <c r="N298" s="21">
        <f>LEN(TRIM(CLEAN(SUBSTITUTE(ProjTextTable[[#This Row],[text]],CHAR(10)," "))))+1 - LEN(SUBSTITUTE(CLEAN(SUBSTITUTE(ProjTextTable[[#This Row],[text]],CHAR(10)," "))," ",""))</f>
        <v>612</v>
      </c>
      <c r="O298" t="s">
        <v>198</v>
      </c>
      <c r="P298" t="s">
        <v>1378</v>
      </c>
    </row>
    <row r="299" spans="1:16">
      <c r="A299">
        <f t="shared" si="4"/>
        <v>45</v>
      </c>
      <c r="B299" t="s">
        <v>1372</v>
      </c>
      <c r="C299" t="s">
        <v>1053</v>
      </c>
      <c r="D299" t="s">
        <v>196</v>
      </c>
      <c r="E299" t="s">
        <v>942</v>
      </c>
      <c r="F299" t="s">
        <v>13</v>
      </c>
      <c r="G299" t="s">
        <v>13</v>
      </c>
      <c r="H299" t="s">
        <v>13</v>
      </c>
      <c r="K299" s="30"/>
      <c r="L299" s="8">
        <v>42810.042407407411</v>
      </c>
      <c r="M299" s="21">
        <f>LEN(ProjTextTable[[#This Row],[text]])</f>
        <v>3835</v>
      </c>
      <c r="N299" s="21">
        <f>LEN(TRIM(CLEAN(SUBSTITUTE(ProjTextTable[[#This Row],[text]],CHAR(10)," "))))+1 - LEN(SUBSTITUTE(CLEAN(SUBSTITUTE(ProjTextTable[[#This Row],[text]],CHAR(10)," "))," ",""))</f>
        <v>526</v>
      </c>
      <c r="O299" t="s">
        <v>13</v>
      </c>
      <c r="P299" t="s">
        <v>1379</v>
      </c>
    </row>
    <row r="300" spans="1:16">
      <c r="A300">
        <f t="shared" si="4"/>
        <v>45</v>
      </c>
      <c r="B300" t="s">
        <v>1372</v>
      </c>
      <c r="C300" t="s">
        <v>1053</v>
      </c>
      <c r="D300" t="s">
        <v>968</v>
      </c>
      <c r="E300" t="s">
        <v>942</v>
      </c>
      <c r="F300" t="s">
        <v>1372</v>
      </c>
      <c r="G300" t="s">
        <v>969</v>
      </c>
      <c r="H300" t="s">
        <v>970</v>
      </c>
      <c r="K300" s="30"/>
      <c r="L300" s="8">
        <v>42927.688738425924</v>
      </c>
      <c r="M300" s="21">
        <f>LEN(ProjTextTable[[#This Row],[text]])</f>
        <v>2257</v>
      </c>
      <c r="N300" s="21">
        <f>LEN(TRIM(CLEAN(SUBSTITUTE(ProjTextTable[[#This Row],[text]],CHAR(10)," "))))+1 - LEN(SUBSTITUTE(CLEAN(SUBSTITUTE(ProjTextTable[[#This Row],[text]],CHAR(10)," "))," ",""))</f>
        <v>336</v>
      </c>
      <c r="O300" t="s">
        <v>13</v>
      </c>
      <c r="P300" t="s">
        <v>971</v>
      </c>
    </row>
    <row r="301" spans="1:16">
      <c r="A301">
        <f t="shared" si="4"/>
        <v>46</v>
      </c>
      <c r="B301" t="s">
        <v>1380</v>
      </c>
      <c r="C301" t="s">
        <v>1381</v>
      </c>
      <c r="D301" t="s">
        <v>205</v>
      </c>
      <c r="E301" t="s">
        <v>543</v>
      </c>
      <c r="F301" t="s">
        <v>919</v>
      </c>
      <c r="G301" t="s">
        <v>920</v>
      </c>
      <c r="H301" t="s">
        <v>1004</v>
      </c>
      <c r="I301" t="s">
        <v>197</v>
      </c>
      <c r="J301" t="s">
        <v>1382</v>
      </c>
      <c r="K301" s="30">
        <v>42871</v>
      </c>
      <c r="L301" s="8">
        <v>42922.825613425928</v>
      </c>
      <c r="M301" s="21">
        <f>LEN(ProjTextTable[[#This Row],[text]])</f>
        <v>3188</v>
      </c>
      <c r="N301" s="21">
        <f>LEN(TRIM(CLEAN(SUBSTITUTE(ProjTextTable[[#This Row],[text]],CHAR(10)," "))))+1 - LEN(SUBSTITUTE(CLEAN(SUBSTITUTE(ProjTextTable[[#This Row],[text]],CHAR(10)," "))," ",""))</f>
        <v>463</v>
      </c>
      <c r="O301" t="s">
        <v>176</v>
      </c>
      <c r="P301" t="s">
        <v>1383</v>
      </c>
    </row>
    <row r="302" spans="1:16">
      <c r="A302">
        <f t="shared" si="4"/>
        <v>46</v>
      </c>
      <c r="B302" t="s">
        <v>1380</v>
      </c>
      <c r="C302" t="s">
        <v>1381</v>
      </c>
      <c r="D302" t="s">
        <v>2</v>
      </c>
      <c r="E302" t="s">
        <v>540</v>
      </c>
      <c r="F302" t="s">
        <v>13</v>
      </c>
      <c r="G302" t="s">
        <v>925</v>
      </c>
      <c r="H302" t="s">
        <v>13</v>
      </c>
      <c r="I302" t="s">
        <v>13</v>
      </c>
      <c r="K302" s="30"/>
      <c r="L302" s="8">
        <v>42920.135023148148</v>
      </c>
      <c r="M302" s="21">
        <f>LEN(ProjTextTable[[#This Row],[text]])</f>
        <v>3439</v>
      </c>
      <c r="N302" s="21">
        <f>LEN(TRIM(CLEAN(SUBSTITUTE(ProjTextTable[[#This Row],[text]],CHAR(10)," "))))+1 - LEN(SUBSTITUTE(CLEAN(SUBSTITUTE(ProjTextTable[[#This Row],[text]],CHAR(10)," "))," ",""))</f>
        <v>505</v>
      </c>
      <c r="O302" t="s">
        <v>13</v>
      </c>
      <c r="P302" t="s">
        <v>1384</v>
      </c>
    </row>
    <row r="303" spans="1:16">
      <c r="A303">
        <f t="shared" si="4"/>
        <v>46</v>
      </c>
      <c r="B303" t="s">
        <v>1380</v>
      </c>
      <c r="C303" t="s">
        <v>1381</v>
      </c>
      <c r="D303" t="s">
        <v>194</v>
      </c>
      <c r="E303" t="s">
        <v>543</v>
      </c>
      <c r="F303" t="s">
        <v>1127</v>
      </c>
      <c r="G303" t="s">
        <v>1128</v>
      </c>
      <c r="H303" t="s">
        <v>1129</v>
      </c>
      <c r="I303" t="s">
        <v>95</v>
      </c>
      <c r="J303" t="s">
        <v>176</v>
      </c>
      <c r="K303" s="30">
        <v>42872</v>
      </c>
      <c r="L303" s="8">
        <v>42870.476319444446</v>
      </c>
      <c r="M303" s="21">
        <f>LEN(ProjTextTable[[#This Row],[text]])</f>
        <v>3634</v>
      </c>
      <c r="N303" s="21">
        <f>LEN(TRIM(CLEAN(SUBSTITUTE(ProjTextTable[[#This Row],[text]],CHAR(10)," "))))+1 - LEN(SUBSTITUTE(CLEAN(SUBSTITUTE(ProjTextTable[[#This Row],[text]],CHAR(10)," "))," ",""))</f>
        <v>562</v>
      </c>
      <c r="O303" t="s">
        <v>202</v>
      </c>
      <c r="P303" t="s">
        <v>1385</v>
      </c>
    </row>
    <row r="304" spans="1:16">
      <c r="A304">
        <f t="shared" si="4"/>
        <v>46</v>
      </c>
      <c r="B304" t="s">
        <v>1380</v>
      </c>
      <c r="C304" t="s">
        <v>1381</v>
      </c>
      <c r="D304" t="s">
        <v>194</v>
      </c>
      <c r="E304" t="s">
        <v>543</v>
      </c>
      <c r="F304" t="s">
        <v>931</v>
      </c>
      <c r="G304" t="s">
        <v>932</v>
      </c>
      <c r="H304" t="s">
        <v>933</v>
      </c>
      <c r="I304" t="s">
        <v>95</v>
      </c>
      <c r="J304" t="s">
        <v>176</v>
      </c>
      <c r="K304" s="30">
        <v>42872</v>
      </c>
      <c r="L304" s="8">
        <v>42870.82335648148</v>
      </c>
      <c r="M304" s="21">
        <f>LEN(ProjTextTable[[#This Row],[text]])</f>
        <v>3826</v>
      </c>
      <c r="N304" s="21">
        <f>LEN(TRIM(CLEAN(SUBSTITUTE(ProjTextTable[[#This Row],[text]],CHAR(10)," "))))+1 - LEN(SUBSTITUTE(CLEAN(SUBSTITUTE(ProjTextTable[[#This Row],[text]],CHAR(10)," "))," ",""))</f>
        <v>583</v>
      </c>
      <c r="O304" t="s">
        <v>202</v>
      </c>
      <c r="P304" t="s">
        <v>1386</v>
      </c>
    </row>
    <row r="305" spans="1:16">
      <c r="A305">
        <f t="shared" si="4"/>
        <v>46</v>
      </c>
      <c r="B305" t="s">
        <v>1380</v>
      </c>
      <c r="C305" t="s">
        <v>1381</v>
      </c>
      <c r="D305" t="s">
        <v>194</v>
      </c>
      <c r="E305" t="s">
        <v>543</v>
      </c>
      <c r="F305" t="s">
        <v>1105</v>
      </c>
      <c r="G305" t="s">
        <v>1106</v>
      </c>
      <c r="H305" t="s">
        <v>1107</v>
      </c>
      <c r="I305" t="s">
        <v>95</v>
      </c>
      <c r="J305" t="s">
        <v>176</v>
      </c>
      <c r="K305" s="30">
        <v>42872</v>
      </c>
      <c r="L305" s="8">
        <v>42868.950277777774</v>
      </c>
      <c r="M305" s="21">
        <f>LEN(ProjTextTable[[#This Row],[text]])</f>
        <v>3422</v>
      </c>
      <c r="N305" s="21">
        <f>LEN(TRIM(CLEAN(SUBSTITUTE(ProjTextTable[[#This Row],[text]],CHAR(10)," "))))+1 - LEN(SUBSTITUTE(CLEAN(SUBSTITUTE(ProjTextTable[[#This Row],[text]],CHAR(10)," "))," ",""))</f>
        <v>530</v>
      </c>
      <c r="O305" t="s">
        <v>202</v>
      </c>
      <c r="P305" t="s">
        <v>1387</v>
      </c>
    </row>
    <row r="306" spans="1:16">
      <c r="A306">
        <f t="shared" si="4"/>
        <v>46</v>
      </c>
      <c r="B306" t="s">
        <v>1380</v>
      </c>
      <c r="C306" t="s">
        <v>1381</v>
      </c>
      <c r="D306" t="s">
        <v>196</v>
      </c>
      <c r="E306" t="s">
        <v>540</v>
      </c>
      <c r="F306" t="s">
        <v>13</v>
      </c>
      <c r="G306" t="s">
        <v>13</v>
      </c>
      <c r="H306" t="s">
        <v>13</v>
      </c>
      <c r="K306" s="30"/>
      <c r="L306" s="8">
        <v>42810.042407407411</v>
      </c>
      <c r="M306" s="21">
        <f>LEN(ProjTextTable[[#This Row],[text]])</f>
        <v>3721</v>
      </c>
      <c r="N306" s="21">
        <f>LEN(TRIM(CLEAN(SUBSTITUTE(ProjTextTable[[#This Row],[text]],CHAR(10)," "))))+1 - LEN(SUBSTITUTE(CLEAN(SUBSTITUTE(ProjTextTable[[#This Row],[text]],CHAR(10)," "))," ",""))</f>
        <v>523</v>
      </c>
      <c r="O306" t="s">
        <v>13</v>
      </c>
      <c r="P306" t="s">
        <v>1388</v>
      </c>
    </row>
    <row r="307" spans="1:16">
      <c r="A307">
        <f t="shared" si="4"/>
        <v>47</v>
      </c>
      <c r="B307" t="s">
        <v>1389</v>
      </c>
      <c r="C307" t="s">
        <v>1390</v>
      </c>
      <c r="D307" t="s">
        <v>205</v>
      </c>
      <c r="E307" t="s">
        <v>543</v>
      </c>
      <c r="F307" t="s">
        <v>919</v>
      </c>
      <c r="G307" t="s">
        <v>920</v>
      </c>
      <c r="H307" t="s">
        <v>921</v>
      </c>
      <c r="I307" t="s">
        <v>193</v>
      </c>
      <c r="J307" t="s">
        <v>922</v>
      </c>
      <c r="K307" s="30">
        <v>42871</v>
      </c>
      <c r="L307" s="8">
        <v>42916.815648148149</v>
      </c>
      <c r="M307" s="21">
        <f>LEN(ProjTextTable[[#This Row],[text]])</f>
        <v>2836</v>
      </c>
      <c r="N307" s="21">
        <f>LEN(TRIM(CLEAN(SUBSTITUTE(ProjTextTable[[#This Row],[text]],CHAR(10)," "))))+1 - LEN(SUBSTITUTE(CLEAN(SUBSTITUTE(ProjTextTable[[#This Row],[text]],CHAR(10)," "))," ",""))</f>
        <v>409</v>
      </c>
      <c r="O307" t="s">
        <v>923</v>
      </c>
      <c r="P307" t="s">
        <v>1391</v>
      </c>
    </row>
    <row r="308" spans="1:16">
      <c r="A308">
        <f t="shared" si="4"/>
        <v>47</v>
      </c>
      <c r="B308" t="s">
        <v>1389</v>
      </c>
      <c r="C308" t="s">
        <v>1390</v>
      </c>
      <c r="D308" t="s">
        <v>2</v>
      </c>
      <c r="E308" t="s">
        <v>543</v>
      </c>
      <c r="F308" t="s">
        <v>13</v>
      </c>
      <c r="G308" t="s">
        <v>925</v>
      </c>
      <c r="H308" t="s">
        <v>13</v>
      </c>
      <c r="I308" t="s">
        <v>13</v>
      </c>
      <c r="K308" s="30"/>
      <c r="L308" s="8">
        <v>42951.589386574073</v>
      </c>
      <c r="M308" s="21">
        <f>LEN(ProjTextTable[[#This Row],[text]])</f>
        <v>4592</v>
      </c>
      <c r="N308" s="21">
        <f>LEN(TRIM(CLEAN(SUBSTITUTE(ProjTextTable[[#This Row],[text]],CHAR(10)," "))))+1 - LEN(SUBSTITUTE(CLEAN(SUBSTITUTE(ProjTextTable[[#This Row],[text]],CHAR(10)," "))," ",""))</f>
        <v>679</v>
      </c>
      <c r="O308" t="s">
        <v>13</v>
      </c>
      <c r="P308" t="s">
        <v>926</v>
      </c>
    </row>
    <row r="309" spans="1:16">
      <c r="A309">
        <f t="shared" si="4"/>
        <v>47</v>
      </c>
      <c r="B309" t="s">
        <v>1389</v>
      </c>
      <c r="C309" t="s">
        <v>1390</v>
      </c>
      <c r="D309" t="s">
        <v>194</v>
      </c>
      <c r="E309" t="s">
        <v>543</v>
      </c>
      <c r="F309" t="s">
        <v>1084</v>
      </c>
      <c r="G309" t="s">
        <v>1085</v>
      </c>
      <c r="H309" t="s">
        <v>1086</v>
      </c>
      <c r="I309" t="s">
        <v>95</v>
      </c>
      <c r="J309" t="s">
        <v>176</v>
      </c>
      <c r="K309" s="30">
        <v>42872</v>
      </c>
      <c r="L309" s="8">
        <v>42873.528680555559</v>
      </c>
      <c r="M309" s="21">
        <f>LEN(ProjTextTable[[#This Row],[text]])</f>
        <v>2258</v>
      </c>
      <c r="N309" s="21">
        <f>LEN(TRIM(CLEAN(SUBSTITUTE(ProjTextTable[[#This Row],[text]],CHAR(10)," "))))+1 - LEN(SUBSTITUTE(CLEAN(SUBSTITUTE(ProjTextTable[[#This Row],[text]],CHAR(10)," "))," ",""))</f>
        <v>359</v>
      </c>
      <c r="O309" t="s">
        <v>201</v>
      </c>
      <c r="P309" t="s">
        <v>1392</v>
      </c>
    </row>
    <row r="310" spans="1:16">
      <c r="A310">
        <f t="shared" si="4"/>
        <v>47</v>
      </c>
      <c r="B310" t="s">
        <v>1389</v>
      </c>
      <c r="C310" t="s">
        <v>1390</v>
      </c>
      <c r="D310" t="s">
        <v>194</v>
      </c>
      <c r="E310" t="s">
        <v>543</v>
      </c>
      <c r="F310" t="s">
        <v>927</v>
      </c>
      <c r="G310" t="s">
        <v>928</v>
      </c>
      <c r="H310" t="s">
        <v>929</v>
      </c>
      <c r="I310" t="s">
        <v>95</v>
      </c>
      <c r="J310" t="s">
        <v>176</v>
      </c>
      <c r="K310" s="30">
        <v>42872</v>
      </c>
      <c r="L310" s="8">
        <v>42868.611331018517</v>
      </c>
      <c r="M310" s="21">
        <f>LEN(ProjTextTable[[#This Row],[text]])</f>
        <v>4500</v>
      </c>
      <c r="N310" s="21">
        <f>LEN(TRIM(CLEAN(SUBSTITUTE(ProjTextTable[[#This Row],[text]],CHAR(10)," "))))+1 - LEN(SUBSTITUTE(CLEAN(SUBSTITUTE(ProjTextTable[[#This Row],[text]],CHAR(10)," "))," ",""))</f>
        <v>636</v>
      </c>
      <c r="O310" t="s">
        <v>195</v>
      </c>
      <c r="P310" t="s">
        <v>1393</v>
      </c>
    </row>
    <row r="311" spans="1:16">
      <c r="A311">
        <f t="shared" si="4"/>
        <v>47</v>
      </c>
      <c r="B311" t="s">
        <v>1389</v>
      </c>
      <c r="C311" t="s">
        <v>1390</v>
      </c>
      <c r="D311" t="s">
        <v>194</v>
      </c>
      <c r="E311" t="s">
        <v>543</v>
      </c>
      <c r="F311" t="s">
        <v>1105</v>
      </c>
      <c r="G311" t="s">
        <v>1106</v>
      </c>
      <c r="H311" t="s">
        <v>1107</v>
      </c>
      <c r="I311" t="s">
        <v>95</v>
      </c>
      <c r="J311" t="s">
        <v>176</v>
      </c>
      <c r="K311" s="30">
        <v>42872</v>
      </c>
      <c r="L311" s="8">
        <v>42868.951423611114</v>
      </c>
      <c r="M311" s="21">
        <f>LEN(ProjTextTable[[#This Row],[text]])</f>
        <v>3851</v>
      </c>
      <c r="N311" s="21">
        <f>LEN(TRIM(CLEAN(SUBSTITUTE(ProjTextTable[[#This Row],[text]],CHAR(10)," "))))+1 - LEN(SUBSTITUTE(CLEAN(SUBSTITUTE(ProjTextTable[[#This Row],[text]],CHAR(10)," "))," ",""))</f>
        <v>579</v>
      </c>
      <c r="O311" t="s">
        <v>202</v>
      </c>
      <c r="P311" t="s">
        <v>1394</v>
      </c>
    </row>
    <row r="312" spans="1:16">
      <c r="A312">
        <f t="shared" si="4"/>
        <v>48</v>
      </c>
      <c r="B312" t="s">
        <v>1395</v>
      </c>
      <c r="C312" t="s">
        <v>1396</v>
      </c>
      <c r="D312" t="s">
        <v>205</v>
      </c>
      <c r="E312" t="s">
        <v>942</v>
      </c>
      <c r="F312" t="s">
        <v>943</v>
      </c>
      <c r="G312" t="s">
        <v>944</v>
      </c>
      <c r="H312" t="s">
        <v>921</v>
      </c>
      <c r="I312" t="s">
        <v>193</v>
      </c>
      <c r="J312" t="s">
        <v>396</v>
      </c>
      <c r="K312" s="30">
        <v>42877</v>
      </c>
      <c r="L312" s="8">
        <v>42916.815648148149</v>
      </c>
      <c r="M312" s="21">
        <f>LEN(ProjTextTable[[#This Row],[text]])</f>
        <v>2505</v>
      </c>
      <c r="N312" s="21">
        <f>LEN(TRIM(CLEAN(SUBSTITUTE(ProjTextTable[[#This Row],[text]],CHAR(10)," "))))+1 - LEN(SUBSTITUTE(CLEAN(SUBSTITUTE(ProjTextTable[[#This Row],[text]],CHAR(10)," "))," ",""))</f>
        <v>374</v>
      </c>
      <c r="O312" t="s">
        <v>923</v>
      </c>
      <c r="P312" t="s">
        <v>1397</v>
      </c>
    </row>
    <row r="313" spans="1:16">
      <c r="A313">
        <f t="shared" si="4"/>
        <v>48</v>
      </c>
      <c r="B313" t="s">
        <v>1395</v>
      </c>
      <c r="C313" t="s">
        <v>1396</v>
      </c>
      <c r="D313" t="s">
        <v>951</v>
      </c>
      <c r="E313" t="s">
        <v>948</v>
      </c>
      <c r="F313" t="s">
        <v>1395</v>
      </c>
      <c r="G313" t="s">
        <v>952</v>
      </c>
      <c r="H313" t="s">
        <v>13</v>
      </c>
      <c r="I313" t="s">
        <v>13</v>
      </c>
      <c r="J313" t="s">
        <v>396</v>
      </c>
      <c r="K313" s="30">
        <v>42955.679861111108</v>
      </c>
      <c r="L313" s="8">
        <v>44781.679861111108</v>
      </c>
      <c r="M313" s="21">
        <f>LEN(ProjTextTable[[#This Row],[text]])</f>
        <v>6193</v>
      </c>
      <c r="N313" s="21">
        <f>LEN(TRIM(CLEAN(SUBSTITUTE(ProjTextTable[[#This Row],[text]],CHAR(10)," "))))+1 - LEN(SUBSTITUTE(CLEAN(SUBSTITUTE(ProjTextTable[[#This Row],[text]],CHAR(10)," "))," ",""))</f>
        <v>913</v>
      </c>
      <c r="O313" t="s">
        <v>13</v>
      </c>
      <c r="P313" t="s">
        <v>1398</v>
      </c>
    </row>
    <row r="314" spans="1:16">
      <c r="A314">
        <f t="shared" si="4"/>
        <v>48</v>
      </c>
      <c r="B314" t="s">
        <v>1395</v>
      </c>
      <c r="C314" t="s">
        <v>1396</v>
      </c>
      <c r="D314" t="s">
        <v>194</v>
      </c>
      <c r="E314" t="s">
        <v>543</v>
      </c>
      <c r="F314" t="s">
        <v>1010</v>
      </c>
      <c r="G314" t="s">
        <v>1011</v>
      </c>
      <c r="H314" t="s">
        <v>1012</v>
      </c>
      <c r="I314" t="s">
        <v>95</v>
      </c>
      <c r="J314" t="s">
        <v>176</v>
      </c>
      <c r="K314" s="30">
        <v>42878</v>
      </c>
      <c r="L314" s="8">
        <v>42876.554120370369</v>
      </c>
      <c r="M314" s="21">
        <f>LEN(ProjTextTable[[#This Row],[text]])</f>
        <v>1798</v>
      </c>
      <c r="N314" s="21">
        <f>LEN(TRIM(CLEAN(SUBSTITUTE(ProjTextTable[[#This Row],[text]],CHAR(10)," "))))+1 - LEN(SUBSTITUTE(CLEAN(SUBSTITUTE(ProjTextTable[[#This Row],[text]],CHAR(10)," "))," ",""))</f>
        <v>249</v>
      </c>
      <c r="O314" t="s">
        <v>195</v>
      </c>
      <c r="P314" t="s">
        <v>1399</v>
      </c>
    </row>
    <row r="315" spans="1:16">
      <c r="A315">
        <f t="shared" si="4"/>
        <v>48</v>
      </c>
      <c r="B315" t="s">
        <v>1395</v>
      </c>
      <c r="C315" t="s">
        <v>1396</v>
      </c>
      <c r="D315" t="s">
        <v>194</v>
      </c>
      <c r="E315" t="s">
        <v>543</v>
      </c>
      <c r="F315" t="s">
        <v>1227</v>
      </c>
      <c r="G315" t="s">
        <v>1228</v>
      </c>
      <c r="H315" t="s">
        <v>1229</v>
      </c>
      <c r="I315" t="s">
        <v>95</v>
      </c>
      <c r="J315" t="s">
        <v>176</v>
      </c>
      <c r="K315" s="30">
        <v>42878</v>
      </c>
      <c r="L315" s="8">
        <v>42874.592210648145</v>
      </c>
      <c r="M315" s="21">
        <f>LEN(ProjTextTable[[#This Row],[text]])</f>
        <v>5603</v>
      </c>
      <c r="N315" s="21">
        <f>LEN(TRIM(CLEAN(SUBSTITUTE(ProjTextTable[[#This Row],[text]],CHAR(10)," "))))+1 - LEN(SUBSTITUTE(CLEAN(SUBSTITUTE(ProjTextTable[[#This Row],[text]],CHAR(10)," "))," ",""))</f>
        <v>853</v>
      </c>
      <c r="O315" t="s">
        <v>201</v>
      </c>
      <c r="P315" t="s">
        <v>1400</v>
      </c>
    </row>
    <row r="316" spans="1:16">
      <c r="A316">
        <f t="shared" si="4"/>
        <v>48</v>
      </c>
      <c r="B316" t="s">
        <v>1395</v>
      </c>
      <c r="C316" t="s">
        <v>1396</v>
      </c>
      <c r="D316" t="s">
        <v>194</v>
      </c>
      <c r="E316" t="s">
        <v>543</v>
      </c>
      <c r="F316" t="s">
        <v>1155</v>
      </c>
      <c r="G316" t="s">
        <v>1156</v>
      </c>
      <c r="H316" t="s">
        <v>1157</v>
      </c>
      <c r="I316" t="s">
        <v>95</v>
      </c>
      <c r="J316" t="s">
        <v>176</v>
      </c>
      <c r="K316" s="30">
        <v>42878</v>
      </c>
      <c r="L316" s="8">
        <v>42876.959409722222</v>
      </c>
      <c r="M316" s="21">
        <f>LEN(ProjTextTable[[#This Row],[text]])</f>
        <v>3839</v>
      </c>
      <c r="N316" s="21">
        <f>LEN(TRIM(CLEAN(SUBSTITUTE(ProjTextTable[[#This Row],[text]],CHAR(10)," "))))+1 - LEN(SUBSTITUTE(CLEAN(SUBSTITUTE(ProjTextTable[[#This Row],[text]],CHAR(10)," "))," ",""))</f>
        <v>573</v>
      </c>
      <c r="O316" t="s">
        <v>195</v>
      </c>
      <c r="P316" t="s">
        <v>1401</v>
      </c>
    </row>
    <row r="317" spans="1:16">
      <c r="A317">
        <f t="shared" si="4"/>
        <v>48</v>
      </c>
      <c r="B317" t="s">
        <v>1395</v>
      </c>
      <c r="C317" t="s">
        <v>1396</v>
      </c>
      <c r="D317" t="s">
        <v>196</v>
      </c>
      <c r="E317" t="s">
        <v>948</v>
      </c>
      <c r="F317" t="s">
        <v>13</v>
      </c>
      <c r="G317" t="s">
        <v>13</v>
      </c>
      <c r="H317" t="s">
        <v>13</v>
      </c>
      <c r="K317" s="30"/>
      <c r="L317" s="8">
        <v>42810.042407407411</v>
      </c>
      <c r="M317" s="21">
        <f>LEN(ProjTextTable[[#This Row],[text]])</f>
        <v>2763</v>
      </c>
      <c r="N317" s="21">
        <f>LEN(TRIM(CLEAN(SUBSTITUTE(ProjTextTable[[#This Row],[text]],CHAR(10)," "))))+1 - LEN(SUBSTITUTE(CLEAN(SUBSTITUTE(ProjTextTable[[#This Row],[text]],CHAR(10)," "))," ",""))</f>
        <v>395</v>
      </c>
      <c r="O317" t="s">
        <v>13</v>
      </c>
      <c r="P317" t="s">
        <v>1402</v>
      </c>
    </row>
    <row r="318" spans="1:16">
      <c r="A318">
        <f t="shared" si="4"/>
        <v>49</v>
      </c>
      <c r="B318" t="s">
        <v>1403</v>
      </c>
      <c r="C318" t="s">
        <v>1404</v>
      </c>
      <c r="D318" t="s">
        <v>205</v>
      </c>
      <c r="E318" t="s">
        <v>942</v>
      </c>
      <c r="F318" t="s">
        <v>943</v>
      </c>
      <c r="G318" t="s">
        <v>944</v>
      </c>
      <c r="H318" t="s">
        <v>974</v>
      </c>
      <c r="I318" t="s">
        <v>200</v>
      </c>
      <c r="K318" s="30">
        <v>42877</v>
      </c>
      <c r="L318" s="8"/>
      <c r="M318" s="21">
        <f>LEN(ProjTextTable[[#This Row],[text]])</f>
        <v>1</v>
      </c>
      <c r="N318" s="21">
        <f>LEN(TRIM(CLEAN(SUBSTITUTE(ProjTextTable[[#This Row],[text]],CHAR(10)," "))))+1 - LEN(SUBSTITUTE(CLEAN(SUBSTITUTE(ProjTextTable[[#This Row],[text]],CHAR(10)," "))," ",""))</f>
        <v>1</v>
      </c>
      <c r="O318" t="s">
        <v>975</v>
      </c>
      <c r="P318" t="s">
        <v>13</v>
      </c>
    </row>
    <row r="319" spans="1:16">
      <c r="A319">
        <f t="shared" si="4"/>
        <v>49</v>
      </c>
      <c r="B319" t="s">
        <v>1403</v>
      </c>
      <c r="C319" t="s">
        <v>1404</v>
      </c>
      <c r="D319" t="s">
        <v>951</v>
      </c>
      <c r="E319" t="s">
        <v>942</v>
      </c>
      <c r="F319" t="s">
        <v>1403</v>
      </c>
      <c r="G319" t="s">
        <v>969</v>
      </c>
      <c r="H319" t="s">
        <v>13</v>
      </c>
      <c r="I319" t="s">
        <v>13</v>
      </c>
      <c r="J319" t="s">
        <v>396</v>
      </c>
      <c r="K319" s="30">
        <v>42955.718055555553</v>
      </c>
      <c r="L319" s="8">
        <v>44781.718055555553</v>
      </c>
      <c r="M319" s="21">
        <f>LEN(ProjTextTable[[#This Row],[text]])</f>
        <v>2118</v>
      </c>
      <c r="N319" s="21">
        <f>LEN(TRIM(CLEAN(SUBSTITUTE(ProjTextTable[[#This Row],[text]],CHAR(10)," "))))+1 - LEN(SUBSTITUTE(CLEAN(SUBSTITUTE(ProjTextTable[[#This Row],[text]],CHAR(10)," "))," ",""))</f>
        <v>307</v>
      </c>
      <c r="O319" t="s">
        <v>13</v>
      </c>
      <c r="P319" t="s">
        <v>1405</v>
      </c>
    </row>
    <row r="320" spans="1:16">
      <c r="A320">
        <f t="shared" si="4"/>
        <v>49</v>
      </c>
      <c r="B320" t="s">
        <v>1403</v>
      </c>
      <c r="C320" t="s">
        <v>1404</v>
      </c>
      <c r="D320" t="s">
        <v>194</v>
      </c>
      <c r="E320" t="s">
        <v>543</v>
      </c>
      <c r="F320" t="s">
        <v>1067</v>
      </c>
      <c r="G320" t="s">
        <v>1068</v>
      </c>
      <c r="H320" t="s">
        <v>1069</v>
      </c>
      <c r="I320" t="s">
        <v>95</v>
      </c>
      <c r="J320" t="s">
        <v>176</v>
      </c>
      <c r="K320" s="30">
        <v>42878</v>
      </c>
      <c r="L320" s="8">
        <v>42878.378206018519</v>
      </c>
      <c r="M320" s="21">
        <f>LEN(ProjTextTable[[#This Row],[text]])</f>
        <v>3429</v>
      </c>
      <c r="N320" s="21">
        <f>LEN(TRIM(CLEAN(SUBSTITUTE(ProjTextTable[[#This Row],[text]],CHAR(10)," "))))+1 - LEN(SUBSTITUTE(CLEAN(SUBSTITUTE(ProjTextTable[[#This Row],[text]],CHAR(10)," "))," ",""))</f>
        <v>530</v>
      </c>
      <c r="O320" t="s">
        <v>195</v>
      </c>
      <c r="P320" t="s">
        <v>1406</v>
      </c>
    </row>
    <row r="321" spans="1:16">
      <c r="A321">
        <f t="shared" si="4"/>
        <v>49</v>
      </c>
      <c r="B321" t="s">
        <v>1403</v>
      </c>
      <c r="C321" t="s">
        <v>1404</v>
      </c>
      <c r="D321" t="s">
        <v>194</v>
      </c>
      <c r="E321" t="s">
        <v>543</v>
      </c>
      <c r="F321" t="s">
        <v>959</v>
      </c>
      <c r="G321" t="s">
        <v>960</v>
      </c>
      <c r="H321" t="s">
        <v>961</v>
      </c>
      <c r="I321" t="s">
        <v>95</v>
      </c>
      <c r="J321" t="s">
        <v>176</v>
      </c>
      <c r="K321" s="30">
        <v>42878</v>
      </c>
      <c r="L321" s="8">
        <v>42874.80364583333</v>
      </c>
      <c r="M321" s="21">
        <f>LEN(ProjTextTable[[#This Row],[text]])</f>
        <v>1863</v>
      </c>
      <c r="N321" s="21">
        <f>LEN(TRIM(CLEAN(SUBSTITUTE(ProjTextTable[[#This Row],[text]],CHAR(10)," "))))+1 - LEN(SUBSTITUTE(CLEAN(SUBSTITUTE(ProjTextTable[[#This Row],[text]],CHAR(10)," "))," ",""))</f>
        <v>287</v>
      </c>
      <c r="O321" t="s">
        <v>195</v>
      </c>
      <c r="P321" t="s">
        <v>1407</v>
      </c>
    </row>
    <row r="322" spans="1:16">
      <c r="A322">
        <f t="shared" ref="A322:A385" si="5">A321+(B322&lt;&gt;B321)</f>
        <v>49</v>
      </c>
      <c r="B322" t="s">
        <v>1403</v>
      </c>
      <c r="C322" t="s">
        <v>1404</v>
      </c>
      <c r="D322" t="s">
        <v>194</v>
      </c>
      <c r="E322" t="s">
        <v>543</v>
      </c>
      <c r="F322" t="s">
        <v>1227</v>
      </c>
      <c r="G322" t="s">
        <v>1228</v>
      </c>
      <c r="H322" t="s">
        <v>1229</v>
      </c>
      <c r="I322" t="s">
        <v>95</v>
      </c>
      <c r="J322" t="s">
        <v>176</v>
      </c>
      <c r="K322" s="30">
        <v>42878</v>
      </c>
      <c r="L322" s="8">
        <v>42878.550543981481</v>
      </c>
      <c r="M322" s="21">
        <f>LEN(ProjTextTable[[#This Row],[text]])</f>
        <v>5209</v>
      </c>
      <c r="N322" s="21">
        <f>LEN(TRIM(CLEAN(SUBSTITUTE(ProjTextTable[[#This Row],[text]],CHAR(10)," "))))+1 - LEN(SUBSTITUTE(CLEAN(SUBSTITUTE(ProjTextTable[[#This Row],[text]],CHAR(10)," "))," ",""))</f>
        <v>797</v>
      </c>
      <c r="O322" t="s">
        <v>201</v>
      </c>
      <c r="P322" t="s">
        <v>1408</v>
      </c>
    </row>
    <row r="323" spans="1:16">
      <c r="A323">
        <f t="shared" si="5"/>
        <v>49</v>
      </c>
      <c r="B323" t="s">
        <v>1403</v>
      </c>
      <c r="C323" t="s">
        <v>1404</v>
      </c>
      <c r="D323" t="s">
        <v>196</v>
      </c>
      <c r="E323" t="s">
        <v>942</v>
      </c>
      <c r="F323" t="s">
        <v>13</v>
      </c>
      <c r="G323" t="s">
        <v>13</v>
      </c>
      <c r="H323" t="s">
        <v>13</v>
      </c>
      <c r="K323" s="30"/>
      <c r="L323" s="8">
        <v>42810.042407407411</v>
      </c>
      <c r="M323" s="21">
        <f>LEN(ProjTextTable[[#This Row],[text]])</f>
        <v>2813</v>
      </c>
      <c r="N323" s="21">
        <f>LEN(TRIM(CLEAN(SUBSTITUTE(ProjTextTable[[#This Row],[text]],CHAR(10)," "))))+1 - LEN(SUBSTITUTE(CLEAN(SUBSTITUTE(ProjTextTable[[#This Row],[text]],CHAR(10)," "))," ",""))</f>
        <v>378</v>
      </c>
      <c r="O323" t="s">
        <v>13</v>
      </c>
      <c r="P323" t="s">
        <v>1409</v>
      </c>
    </row>
    <row r="324" spans="1:16">
      <c r="A324">
        <f t="shared" si="5"/>
        <v>50</v>
      </c>
      <c r="B324" t="s">
        <v>1410</v>
      </c>
      <c r="C324" t="s">
        <v>1411</v>
      </c>
      <c r="D324" t="s">
        <v>205</v>
      </c>
      <c r="E324" t="s">
        <v>942</v>
      </c>
      <c r="F324" t="s">
        <v>943</v>
      </c>
      <c r="G324" t="s">
        <v>944</v>
      </c>
      <c r="H324" t="s">
        <v>974</v>
      </c>
      <c r="I324" t="s">
        <v>200</v>
      </c>
      <c r="K324" s="30">
        <v>42877</v>
      </c>
      <c r="L324" s="8"/>
      <c r="M324" s="21">
        <f>LEN(ProjTextTable[[#This Row],[text]])</f>
        <v>1</v>
      </c>
      <c r="N324" s="21">
        <f>LEN(TRIM(CLEAN(SUBSTITUTE(ProjTextTable[[#This Row],[text]],CHAR(10)," "))))+1 - LEN(SUBSTITUTE(CLEAN(SUBSTITUTE(ProjTextTable[[#This Row],[text]],CHAR(10)," "))," ",""))</f>
        <v>1</v>
      </c>
      <c r="O324" t="s">
        <v>975</v>
      </c>
      <c r="P324" t="s">
        <v>13</v>
      </c>
    </row>
    <row r="325" spans="1:16">
      <c r="A325">
        <f t="shared" si="5"/>
        <v>50</v>
      </c>
      <c r="B325" t="s">
        <v>1410</v>
      </c>
      <c r="C325" t="s">
        <v>1411</v>
      </c>
      <c r="D325" t="s">
        <v>951</v>
      </c>
      <c r="E325" t="s">
        <v>942</v>
      </c>
      <c r="F325" t="s">
        <v>1410</v>
      </c>
      <c r="G325" t="s">
        <v>969</v>
      </c>
      <c r="H325" t="s">
        <v>13</v>
      </c>
      <c r="I325" t="s">
        <v>13</v>
      </c>
      <c r="J325" t="s">
        <v>396</v>
      </c>
      <c r="K325" s="30">
        <v>42955.719444444447</v>
      </c>
      <c r="L325" s="8">
        <v>44781.719444444447</v>
      </c>
      <c r="M325" s="21">
        <f>LEN(ProjTextTable[[#This Row],[text]])</f>
        <v>2118</v>
      </c>
      <c r="N325" s="21">
        <f>LEN(TRIM(CLEAN(SUBSTITUTE(ProjTextTable[[#This Row],[text]],CHAR(10)," "))))+1 - LEN(SUBSTITUTE(CLEAN(SUBSTITUTE(ProjTextTable[[#This Row],[text]],CHAR(10)," "))," ",""))</f>
        <v>307</v>
      </c>
      <c r="O325" t="s">
        <v>13</v>
      </c>
      <c r="P325" t="s">
        <v>1405</v>
      </c>
    </row>
    <row r="326" spans="1:16">
      <c r="A326">
        <f t="shared" si="5"/>
        <v>50</v>
      </c>
      <c r="B326" t="s">
        <v>1410</v>
      </c>
      <c r="C326" t="s">
        <v>1411</v>
      </c>
      <c r="D326" t="s">
        <v>194</v>
      </c>
      <c r="E326" t="s">
        <v>543</v>
      </c>
      <c r="F326" t="s">
        <v>959</v>
      </c>
      <c r="G326" t="s">
        <v>960</v>
      </c>
      <c r="H326" t="s">
        <v>961</v>
      </c>
      <c r="I326" t="s">
        <v>95</v>
      </c>
      <c r="J326" t="s">
        <v>176</v>
      </c>
      <c r="K326" s="30">
        <v>42878</v>
      </c>
      <c r="L326" s="8">
        <v>42878.45239583333</v>
      </c>
      <c r="M326" s="21">
        <f>LEN(ProjTextTable[[#This Row],[text]])</f>
        <v>1369</v>
      </c>
      <c r="N326" s="21">
        <f>LEN(TRIM(CLEAN(SUBSTITUTE(ProjTextTable[[#This Row],[text]],CHAR(10)," "))))+1 - LEN(SUBSTITUTE(CLEAN(SUBSTITUTE(ProjTextTable[[#This Row],[text]],CHAR(10)," "))," ",""))</f>
        <v>210</v>
      </c>
      <c r="O326" t="s">
        <v>201</v>
      </c>
      <c r="P326" t="s">
        <v>1412</v>
      </c>
    </row>
    <row r="327" spans="1:16">
      <c r="A327">
        <f t="shared" si="5"/>
        <v>50</v>
      </c>
      <c r="B327" t="s">
        <v>1410</v>
      </c>
      <c r="C327" t="s">
        <v>1411</v>
      </c>
      <c r="D327" t="s">
        <v>194</v>
      </c>
      <c r="E327" t="s">
        <v>543</v>
      </c>
      <c r="F327" t="s">
        <v>1059</v>
      </c>
      <c r="G327" t="s">
        <v>1060</v>
      </c>
      <c r="H327" t="s">
        <v>1061</v>
      </c>
      <c r="I327" t="s">
        <v>95</v>
      </c>
      <c r="J327" t="s">
        <v>176</v>
      </c>
      <c r="K327" s="30">
        <v>42878</v>
      </c>
      <c r="L327" s="8">
        <v>42877.661319444444</v>
      </c>
      <c r="M327" s="21">
        <f>LEN(ProjTextTable[[#This Row],[text]])</f>
        <v>1334</v>
      </c>
      <c r="N327" s="21">
        <f>LEN(TRIM(CLEAN(SUBSTITUTE(ProjTextTable[[#This Row],[text]],CHAR(10)," "))))+1 - LEN(SUBSTITUTE(CLEAN(SUBSTITUTE(ProjTextTable[[#This Row],[text]],CHAR(10)," "))," ",""))</f>
        <v>202</v>
      </c>
      <c r="O327" t="s">
        <v>209</v>
      </c>
      <c r="P327" t="s">
        <v>1413</v>
      </c>
    </row>
    <row r="328" spans="1:16">
      <c r="A328">
        <f t="shared" si="5"/>
        <v>50</v>
      </c>
      <c r="B328" t="s">
        <v>1410</v>
      </c>
      <c r="C328" t="s">
        <v>1411</v>
      </c>
      <c r="D328" t="s">
        <v>194</v>
      </c>
      <c r="E328" t="s">
        <v>543</v>
      </c>
      <c r="F328" t="s">
        <v>1155</v>
      </c>
      <c r="G328" t="s">
        <v>1156</v>
      </c>
      <c r="H328" t="s">
        <v>1157</v>
      </c>
      <c r="I328" t="s">
        <v>95</v>
      </c>
      <c r="J328" t="s">
        <v>176</v>
      </c>
      <c r="K328" s="30">
        <v>42878</v>
      </c>
      <c r="L328" s="8">
        <v>42878.377974537034</v>
      </c>
      <c r="M328" s="21">
        <f>LEN(ProjTextTable[[#This Row],[text]])</f>
        <v>2632</v>
      </c>
      <c r="N328" s="21">
        <f>LEN(TRIM(CLEAN(SUBSTITUTE(ProjTextTable[[#This Row],[text]],CHAR(10)," "))))+1 - LEN(SUBSTITUTE(CLEAN(SUBSTITUTE(ProjTextTable[[#This Row],[text]],CHAR(10)," "))," ",""))</f>
        <v>388</v>
      </c>
      <c r="O328" t="s">
        <v>209</v>
      </c>
      <c r="P328" t="s">
        <v>1414</v>
      </c>
    </row>
    <row r="329" spans="1:16">
      <c r="A329">
        <f t="shared" si="5"/>
        <v>50</v>
      </c>
      <c r="B329" t="s">
        <v>1410</v>
      </c>
      <c r="C329" t="s">
        <v>1411</v>
      </c>
      <c r="D329" t="s">
        <v>196</v>
      </c>
      <c r="E329" t="s">
        <v>942</v>
      </c>
      <c r="F329" t="s">
        <v>13</v>
      </c>
      <c r="G329" t="s">
        <v>13</v>
      </c>
      <c r="H329" t="s">
        <v>13</v>
      </c>
      <c r="K329" s="30"/>
      <c r="L329" s="8">
        <v>42810.042407407411</v>
      </c>
      <c r="M329" s="21">
        <f>LEN(ProjTextTable[[#This Row],[text]])</f>
        <v>3732</v>
      </c>
      <c r="N329" s="21">
        <f>LEN(TRIM(CLEAN(SUBSTITUTE(ProjTextTable[[#This Row],[text]],CHAR(10)," "))))+1 - LEN(SUBSTITUTE(CLEAN(SUBSTITUTE(ProjTextTable[[#This Row],[text]],CHAR(10)," "))," ",""))</f>
        <v>510</v>
      </c>
      <c r="O329" t="s">
        <v>13</v>
      </c>
      <c r="P329" t="s">
        <v>1415</v>
      </c>
    </row>
    <row r="330" spans="1:16">
      <c r="A330">
        <f t="shared" si="5"/>
        <v>51</v>
      </c>
      <c r="B330" t="s">
        <v>1416</v>
      </c>
      <c r="C330" t="s">
        <v>1417</v>
      </c>
      <c r="D330" t="s">
        <v>205</v>
      </c>
      <c r="E330" t="s">
        <v>942</v>
      </c>
      <c r="F330" t="s">
        <v>943</v>
      </c>
      <c r="G330" t="s">
        <v>944</v>
      </c>
      <c r="H330" t="s">
        <v>974</v>
      </c>
      <c r="I330" t="s">
        <v>200</v>
      </c>
      <c r="K330" s="30">
        <v>42877</v>
      </c>
      <c r="L330" s="8"/>
      <c r="M330" s="21">
        <f>LEN(ProjTextTable[[#This Row],[text]])</f>
        <v>1</v>
      </c>
      <c r="N330" s="21">
        <f>LEN(TRIM(CLEAN(SUBSTITUTE(ProjTextTable[[#This Row],[text]],CHAR(10)," "))))+1 - LEN(SUBSTITUTE(CLEAN(SUBSTITUTE(ProjTextTable[[#This Row],[text]],CHAR(10)," "))," ",""))</f>
        <v>1</v>
      </c>
      <c r="O330" t="s">
        <v>975</v>
      </c>
      <c r="P330" t="s">
        <v>13</v>
      </c>
    </row>
    <row r="331" spans="1:16">
      <c r="A331">
        <f t="shared" si="5"/>
        <v>51</v>
      </c>
      <c r="B331" t="s">
        <v>1416</v>
      </c>
      <c r="C331" t="s">
        <v>1417</v>
      </c>
      <c r="D331" t="s">
        <v>951</v>
      </c>
      <c r="E331" t="s">
        <v>942</v>
      </c>
      <c r="F331" t="s">
        <v>1416</v>
      </c>
      <c r="G331" t="s">
        <v>969</v>
      </c>
      <c r="H331" t="s">
        <v>13</v>
      </c>
      <c r="I331" t="s">
        <v>13</v>
      </c>
      <c r="J331" t="s">
        <v>396</v>
      </c>
      <c r="K331" s="30">
        <v>42955.720138888886</v>
      </c>
      <c r="L331" s="8">
        <v>44781.720138888886</v>
      </c>
      <c r="M331" s="21">
        <f>LEN(ProjTextTable[[#This Row],[text]])</f>
        <v>2118</v>
      </c>
      <c r="N331" s="21">
        <f>LEN(TRIM(CLEAN(SUBSTITUTE(ProjTextTable[[#This Row],[text]],CHAR(10)," "))))+1 - LEN(SUBSTITUTE(CLEAN(SUBSTITUTE(ProjTextTable[[#This Row],[text]],CHAR(10)," "))," ",""))</f>
        <v>307</v>
      </c>
      <c r="O331" t="s">
        <v>13</v>
      </c>
      <c r="P331" t="s">
        <v>1405</v>
      </c>
    </row>
    <row r="332" spans="1:16">
      <c r="A332">
        <f t="shared" si="5"/>
        <v>51</v>
      </c>
      <c r="B332" t="s">
        <v>1416</v>
      </c>
      <c r="C332" t="s">
        <v>1417</v>
      </c>
      <c r="D332" t="s">
        <v>194</v>
      </c>
      <c r="E332" t="s">
        <v>543</v>
      </c>
      <c r="F332" t="s">
        <v>1067</v>
      </c>
      <c r="G332" t="s">
        <v>1068</v>
      </c>
      <c r="H332" t="s">
        <v>1069</v>
      </c>
      <c r="I332" t="s">
        <v>95</v>
      </c>
      <c r="J332" t="s">
        <v>176</v>
      </c>
      <c r="K332" s="30">
        <v>42878</v>
      </c>
      <c r="L332" s="8">
        <v>42877.049050925925</v>
      </c>
      <c r="M332" s="21">
        <f>LEN(ProjTextTable[[#This Row],[text]])</f>
        <v>2757</v>
      </c>
      <c r="N332" s="21">
        <f>LEN(TRIM(CLEAN(SUBSTITUTE(ProjTextTable[[#This Row],[text]],CHAR(10)," "))))+1 - LEN(SUBSTITUTE(CLEAN(SUBSTITUTE(ProjTextTable[[#This Row],[text]],CHAR(10)," "))," ",""))</f>
        <v>426</v>
      </c>
      <c r="O332" t="s">
        <v>201</v>
      </c>
      <c r="P332" t="s">
        <v>1418</v>
      </c>
    </row>
    <row r="333" spans="1:16">
      <c r="A333">
        <f t="shared" si="5"/>
        <v>51</v>
      </c>
      <c r="B333" t="s">
        <v>1416</v>
      </c>
      <c r="C333" t="s">
        <v>1417</v>
      </c>
      <c r="D333" t="s">
        <v>194</v>
      </c>
      <c r="E333" t="s">
        <v>543</v>
      </c>
      <c r="F333" t="s">
        <v>1155</v>
      </c>
      <c r="G333" t="s">
        <v>1156</v>
      </c>
      <c r="H333" t="s">
        <v>1157</v>
      </c>
      <c r="I333" t="s">
        <v>95</v>
      </c>
      <c r="J333" t="s">
        <v>176</v>
      </c>
      <c r="K333" s="30">
        <v>42878</v>
      </c>
      <c r="L333" s="8">
        <v>42875.862430555557</v>
      </c>
      <c r="M333" s="21">
        <f>LEN(ProjTextTable[[#This Row],[text]])</f>
        <v>4838</v>
      </c>
      <c r="N333" s="21">
        <f>LEN(TRIM(CLEAN(SUBSTITUTE(ProjTextTable[[#This Row],[text]],CHAR(10)," "))))+1 - LEN(SUBSTITUTE(CLEAN(SUBSTITUTE(ProjTextTable[[#This Row],[text]],CHAR(10)," "))," ",""))</f>
        <v>717</v>
      </c>
      <c r="O333" t="s">
        <v>195</v>
      </c>
      <c r="P333" t="s">
        <v>1419</v>
      </c>
    </row>
    <row r="334" spans="1:16">
      <c r="A334">
        <f t="shared" si="5"/>
        <v>51</v>
      </c>
      <c r="B334" t="s">
        <v>1416</v>
      </c>
      <c r="C334" t="s">
        <v>1417</v>
      </c>
      <c r="D334" t="s">
        <v>194</v>
      </c>
      <c r="E334" t="s">
        <v>543</v>
      </c>
      <c r="F334" t="s">
        <v>1018</v>
      </c>
      <c r="G334" t="s">
        <v>1019</v>
      </c>
      <c r="H334" t="s">
        <v>1020</v>
      </c>
      <c r="I334" t="s">
        <v>95</v>
      </c>
      <c r="J334" t="s">
        <v>176</v>
      </c>
      <c r="K334" s="30">
        <v>42878</v>
      </c>
      <c r="L334" s="8">
        <v>42877.401759259257</v>
      </c>
      <c r="M334" s="21">
        <f>LEN(ProjTextTable[[#This Row],[text]])</f>
        <v>2002</v>
      </c>
      <c r="N334" s="21">
        <f>LEN(TRIM(CLEAN(SUBSTITUTE(ProjTextTable[[#This Row],[text]],CHAR(10)," "))))+1 - LEN(SUBSTITUTE(CLEAN(SUBSTITUTE(ProjTextTable[[#This Row],[text]],CHAR(10)," "))," ",""))</f>
        <v>288</v>
      </c>
      <c r="O334" t="s">
        <v>195</v>
      </c>
      <c r="P334" t="s">
        <v>1420</v>
      </c>
    </row>
    <row r="335" spans="1:16">
      <c r="A335">
        <f t="shared" si="5"/>
        <v>51</v>
      </c>
      <c r="B335" t="s">
        <v>1416</v>
      </c>
      <c r="C335" t="s">
        <v>1417</v>
      </c>
      <c r="D335" t="s">
        <v>196</v>
      </c>
      <c r="E335" t="s">
        <v>942</v>
      </c>
      <c r="F335" t="s">
        <v>13</v>
      </c>
      <c r="G335" t="s">
        <v>13</v>
      </c>
      <c r="H335" t="s">
        <v>13</v>
      </c>
      <c r="K335" s="30"/>
      <c r="L335" s="8">
        <v>42810.042407407411</v>
      </c>
      <c r="M335" s="21">
        <f>LEN(ProjTextTable[[#This Row],[text]])</f>
        <v>3240</v>
      </c>
      <c r="N335" s="21">
        <f>LEN(TRIM(CLEAN(SUBSTITUTE(ProjTextTable[[#This Row],[text]],CHAR(10)," "))))+1 - LEN(SUBSTITUTE(CLEAN(SUBSTITUTE(ProjTextTable[[#This Row],[text]],CHAR(10)," "))," ",""))</f>
        <v>467</v>
      </c>
      <c r="O335" t="s">
        <v>13</v>
      </c>
      <c r="P335" t="s">
        <v>1421</v>
      </c>
    </row>
    <row r="336" spans="1:16">
      <c r="A336">
        <f t="shared" si="5"/>
        <v>52</v>
      </c>
      <c r="B336" t="s">
        <v>1422</v>
      </c>
      <c r="C336" t="s">
        <v>1423</v>
      </c>
      <c r="D336" t="s">
        <v>205</v>
      </c>
      <c r="E336" t="s">
        <v>942</v>
      </c>
      <c r="F336" t="s">
        <v>943</v>
      </c>
      <c r="G336" t="s">
        <v>944</v>
      </c>
      <c r="H336" t="s">
        <v>974</v>
      </c>
      <c r="I336" t="s">
        <v>200</v>
      </c>
      <c r="K336" s="30">
        <v>42877</v>
      </c>
      <c r="L336" s="8"/>
      <c r="M336" s="21">
        <f>LEN(ProjTextTable[[#This Row],[text]])</f>
        <v>1</v>
      </c>
      <c r="N336" s="21">
        <f>LEN(TRIM(CLEAN(SUBSTITUTE(ProjTextTable[[#This Row],[text]],CHAR(10)," "))))+1 - LEN(SUBSTITUTE(CLEAN(SUBSTITUTE(ProjTextTable[[#This Row],[text]],CHAR(10)," "))," ",""))</f>
        <v>1</v>
      </c>
      <c r="O336" t="s">
        <v>975</v>
      </c>
      <c r="P336" t="s">
        <v>13</v>
      </c>
    </row>
    <row r="337" spans="1:16">
      <c r="A337">
        <f t="shared" si="5"/>
        <v>52</v>
      </c>
      <c r="B337" t="s">
        <v>1422</v>
      </c>
      <c r="C337" t="s">
        <v>1423</v>
      </c>
      <c r="D337" t="s">
        <v>951</v>
      </c>
      <c r="E337" t="s">
        <v>948</v>
      </c>
      <c r="F337" t="s">
        <v>1422</v>
      </c>
      <c r="G337" t="s">
        <v>952</v>
      </c>
      <c r="H337" t="s">
        <v>13</v>
      </c>
      <c r="I337" t="s">
        <v>13</v>
      </c>
      <c r="J337" t="s">
        <v>396</v>
      </c>
      <c r="K337" s="30">
        <v>42957.731249999997</v>
      </c>
      <c r="L337" s="8">
        <v>44783.731249999997</v>
      </c>
      <c r="M337" s="21">
        <f>LEN(ProjTextTable[[#This Row],[text]])</f>
        <v>7229</v>
      </c>
      <c r="N337" s="21">
        <f>LEN(TRIM(CLEAN(SUBSTITUTE(ProjTextTable[[#This Row],[text]],CHAR(10)," "))))+1 - LEN(SUBSTITUTE(CLEAN(SUBSTITUTE(ProjTextTable[[#This Row],[text]],CHAR(10)," "))," ",""))</f>
        <v>1054</v>
      </c>
      <c r="O337" t="s">
        <v>13</v>
      </c>
      <c r="P337" t="s">
        <v>1424</v>
      </c>
    </row>
    <row r="338" spans="1:16">
      <c r="A338">
        <f t="shared" si="5"/>
        <v>52</v>
      </c>
      <c r="B338" t="s">
        <v>1422</v>
      </c>
      <c r="C338" t="s">
        <v>1423</v>
      </c>
      <c r="D338" t="s">
        <v>194</v>
      </c>
      <c r="E338" t="s">
        <v>543</v>
      </c>
      <c r="F338" t="s">
        <v>1014</v>
      </c>
      <c r="G338" t="s">
        <v>1015</v>
      </c>
      <c r="H338" t="s">
        <v>1016</v>
      </c>
      <c r="I338" t="s">
        <v>95</v>
      </c>
      <c r="J338" t="s">
        <v>176</v>
      </c>
      <c r="K338" s="30">
        <v>42878</v>
      </c>
      <c r="L338" s="8">
        <v>42878.502916666665</v>
      </c>
      <c r="M338" s="21">
        <f>LEN(ProjTextTable[[#This Row],[text]])</f>
        <v>2186</v>
      </c>
      <c r="N338" s="21">
        <f>LEN(TRIM(CLEAN(SUBSTITUTE(ProjTextTable[[#This Row],[text]],CHAR(10)," "))))+1 - LEN(SUBSTITUTE(CLEAN(SUBSTITUTE(ProjTextTable[[#This Row],[text]],CHAR(10)," "))," ",""))</f>
        <v>293</v>
      </c>
      <c r="O338" t="s">
        <v>195</v>
      </c>
      <c r="P338" t="s">
        <v>1425</v>
      </c>
    </row>
    <row r="339" spans="1:16">
      <c r="A339">
        <f t="shared" si="5"/>
        <v>52</v>
      </c>
      <c r="B339" t="s">
        <v>1422</v>
      </c>
      <c r="C339" t="s">
        <v>1423</v>
      </c>
      <c r="D339" t="s">
        <v>194</v>
      </c>
      <c r="E339" t="s">
        <v>543</v>
      </c>
      <c r="F339" t="s">
        <v>1227</v>
      </c>
      <c r="G339" t="s">
        <v>1228</v>
      </c>
      <c r="H339" t="s">
        <v>1229</v>
      </c>
      <c r="I339" t="s">
        <v>95</v>
      </c>
      <c r="J339" t="s">
        <v>176</v>
      </c>
      <c r="K339" s="30">
        <v>42878</v>
      </c>
      <c r="L339" s="8">
        <v>42874.59516203704</v>
      </c>
      <c r="M339" s="21">
        <f>LEN(ProjTextTable[[#This Row],[text]])</f>
        <v>4730</v>
      </c>
      <c r="N339" s="21">
        <f>LEN(TRIM(CLEAN(SUBSTITUTE(ProjTextTable[[#This Row],[text]],CHAR(10)," "))))+1 - LEN(SUBSTITUTE(CLEAN(SUBSTITUTE(ProjTextTable[[#This Row],[text]],CHAR(10)," "))," ",""))</f>
        <v>710</v>
      </c>
      <c r="O339" t="s">
        <v>201</v>
      </c>
      <c r="P339" t="s">
        <v>1426</v>
      </c>
    </row>
    <row r="340" spans="1:16">
      <c r="A340">
        <f t="shared" si="5"/>
        <v>52</v>
      </c>
      <c r="B340" t="s">
        <v>1422</v>
      </c>
      <c r="C340" t="s">
        <v>1423</v>
      </c>
      <c r="D340" t="s">
        <v>194</v>
      </c>
      <c r="E340" t="s">
        <v>543</v>
      </c>
      <c r="F340" t="s">
        <v>1059</v>
      </c>
      <c r="G340" t="s">
        <v>1060</v>
      </c>
      <c r="H340" t="s">
        <v>1061</v>
      </c>
      <c r="I340" t="s">
        <v>95</v>
      </c>
      <c r="J340" t="s">
        <v>176</v>
      </c>
      <c r="K340" s="30">
        <v>42878</v>
      </c>
      <c r="L340" s="8">
        <v>42877.664085648146</v>
      </c>
      <c r="M340" s="21">
        <f>LEN(ProjTextTable[[#This Row],[text]])</f>
        <v>1350</v>
      </c>
      <c r="N340" s="21">
        <f>LEN(TRIM(CLEAN(SUBSTITUTE(ProjTextTable[[#This Row],[text]],CHAR(10)," "))))+1 - LEN(SUBSTITUTE(CLEAN(SUBSTITUTE(ProjTextTable[[#This Row],[text]],CHAR(10)," "))," ",""))</f>
        <v>204</v>
      </c>
      <c r="O340" t="s">
        <v>201</v>
      </c>
      <c r="P340" t="s">
        <v>1427</v>
      </c>
    </row>
    <row r="341" spans="1:16">
      <c r="A341">
        <f t="shared" si="5"/>
        <v>52</v>
      </c>
      <c r="B341" t="s">
        <v>1422</v>
      </c>
      <c r="C341" t="s">
        <v>1423</v>
      </c>
      <c r="D341" t="s">
        <v>196</v>
      </c>
      <c r="E341" t="s">
        <v>948</v>
      </c>
      <c r="F341" t="s">
        <v>13</v>
      </c>
      <c r="G341" t="s">
        <v>13</v>
      </c>
      <c r="H341" t="s">
        <v>13</v>
      </c>
      <c r="K341" s="30"/>
      <c r="L341" s="8">
        <v>42810.04241898148</v>
      </c>
      <c r="M341" s="21">
        <f>LEN(ProjTextTable[[#This Row],[text]])</f>
        <v>4578</v>
      </c>
      <c r="N341" s="21">
        <f>LEN(TRIM(CLEAN(SUBSTITUTE(ProjTextTable[[#This Row],[text]],CHAR(10)," "))))+1 - LEN(SUBSTITUTE(CLEAN(SUBSTITUTE(ProjTextTable[[#This Row],[text]],CHAR(10)," "))," ",""))</f>
        <v>648</v>
      </c>
      <c r="O341" t="s">
        <v>13</v>
      </c>
      <c r="P341" t="s">
        <v>1428</v>
      </c>
    </row>
    <row r="342" spans="1:16">
      <c r="A342">
        <f t="shared" si="5"/>
        <v>53</v>
      </c>
      <c r="B342" t="s">
        <v>1429</v>
      </c>
      <c r="C342" t="s">
        <v>1430</v>
      </c>
      <c r="D342" t="s">
        <v>205</v>
      </c>
      <c r="E342" t="s">
        <v>942</v>
      </c>
      <c r="F342" t="s">
        <v>943</v>
      </c>
      <c r="G342" t="s">
        <v>944</v>
      </c>
      <c r="H342" t="s">
        <v>1004</v>
      </c>
      <c r="I342" t="s">
        <v>197</v>
      </c>
      <c r="J342" t="s">
        <v>668</v>
      </c>
      <c r="K342" s="30">
        <v>42877</v>
      </c>
      <c r="L342" s="8">
        <v>42929.428865740738</v>
      </c>
      <c r="M342" s="21">
        <f>LEN(ProjTextTable[[#This Row],[text]])</f>
        <v>4049</v>
      </c>
      <c r="N342" s="21">
        <f>LEN(TRIM(CLEAN(SUBSTITUTE(ProjTextTable[[#This Row],[text]],CHAR(10)," "))))+1 - LEN(SUBSTITUTE(CLEAN(SUBSTITUTE(ProjTextTable[[#This Row],[text]],CHAR(10)," "))," ",""))</f>
        <v>573</v>
      </c>
      <c r="O342" t="s">
        <v>176</v>
      </c>
      <c r="P342" t="s">
        <v>1431</v>
      </c>
    </row>
    <row r="343" spans="1:16">
      <c r="A343">
        <f t="shared" si="5"/>
        <v>53</v>
      </c>
      <c r="B343" t="s">
        <v>1429</v>
      </c>
      <c r="C343" t="s">
        <v>1430</v>
      </c>
      <c r="D343" t="s">
        <v>397</v>
      </c>
      <c r="E343" t="s">
        <v>942</v>
      </c>
      <c r="F343" t="s">
        <v>13</v>
      </c>
      <c r="G343" t="s">
        <v>949</v>
      </c>
      <c r="H343" t="s">
        <v>13</v>
      </c>
      <c r="I343" t="s">
        <v>13</v>
      </c>
      <c r="K343" s="30"/>
      <c r="L343" s="8">
        <v>42930.568761574075</v>
      </c>
      <c r="M343" s="21">
        <f>LEN(ProjTextTable[[#This Row],[text]])</f>
        <v>2754</v>
      </c>
      <c r="N343" s="21">
        <f>LEN(TRIM(CLEAN(SUBSTITUTE(ProjTextTable[[#This Row],[text]],CHAR(10)," "))))+1 - LEN(SUBSTITUTE(CLEAN(SUBSTITUTE(ProjTextTable[[#This Row],[text]],CHAR(10)," "))," ",""))</f>
        <v>384</v>
      </c>
      <c r="O343" t="s">
        <v>13</v>
      </c>
      <c r="P343" t="s">
        <v>1432</v>
      </c>
    </row>
    <row r="344" spans="1:16">
      <c r="A344">
        <f t="shared" si="5"/>
        <v>53</v>
      </c>
      <c r="B344" t="s">
        <v>1429</v>
      </c>
      <c r="C344" t="s">
        <v>1430</v>
      </c>
      <c r="D344" t="s">
        <v>951</v>
      </c>
      <c r="E344" t="s">
        <v>942</v>
      </c>
      <c r="F344" t="s">
        <v>1429</v>
      </c>
      <c r="G344" t="s">
        <v>969</v>
      </c>
      <c r="H344" t="s">
        <v>13</v>
      </c>
      <c r="I344" t="s">
        <v>13</v>
      </c>
      <c r="J344" t="s">
        <v>953</v>
      </c>
      <c r="K344" s="30">
        <v>42929.541666666664</v>
      </c>
      <c r="L344" s="8">
        <v>44755.541666666664</v>
      </c>
      <c r="M344" s="21">
        <f>LEN(ProjTextTable[[#This Row],[text]])</f>
        <v>7474</v>
      </c>
      <c r="N344" s="21">
        <f>LEN(TRIM(CLEAN(SUBSTITUTE(ProjTextTable[[#This Row],[text]],CHAR(10)," "))))+1 - LEN(SUBSTITUTE(CLEAN(SUBSTITUTE(ProjTextTable[[#This Row],[text]],CHAR(10)," "))," ",""))</f>
        <v>1088</v>
      </c>
      <c r="O344" t="s">
        <v>13</v>
      </c>
      <c r="P344" t="s">
        <v>1433</v>
      </c>
    </row>
    <row r="345" spans="1:16">
      <c r="A345">
        <f t="shared" si="5"/>
        <v>53</v>
      </c>
      <c r="B345" t="s">
        <v>1429</v>
      </c>
      <c r="C345" t="s">
        <v>1430</v>
      </c>
      <c r="D345" t="s">
        <v>194</v>
      </c>
      <c r="E345" t="s">
        <v>543</v>
      </c>
      <c r="F345" t="s">
        <v>1067</v>
      </c>
      <c r="G345" t="s">
        <v>1068</v>
      </c>
      <c r="H345" t="s">
        <v>1069</v>
      </c>
      <c r="I345" t="s">
        <v>95</v>
      </c>
      <c r="J345" t="s">
        <v>176</v>
      </c>
      <c r="K345" s="30">
        <v>42878</v>
      </c>
      <c r="L345" s="8">
        <v>42877.046574074076</v>
      </c>
      <c r="M345" s="21">
        <f>LEN(ProjTextTable[[#This Row],[text]])</f>
        <v>2955</v>
      </c>
      <c r="N345" s="21">
        <f>LEN(TRIM(CLEAN(SUBSTITUTE(ProjTextTable[[#This Row],[text]],CHAR(10)," "))))+1 - LEN(SUBSTITUTE(CLEAN(SUBSTITUTE(ProjTextTable[[#This Row],[text]],CHAR(10)," "))," ",""))</f>
        <v>429</v>
      </c>
      <c r="O345" t="s">
        <v>199</v>
      </c>
      <c r="P345" t="s">
        <v>1434</v>
      </c>
    </row>
    <row r="346" spans="1:16">
      <c r="A346">
        <f t="shared" si="5"/>
        <v>53</v>
      </c>
      <c r="B346" t="s">
        <v>1429</v>
      </c>
      <c r="C346" t="s">
        <v>1430</v>
      </c>
      <c r="D346" t="s">
        <v>194</v>
      </c>
      <c r="E346" t="s">
        <v>543</v>
      </c>
      <c r="F346" t="s">
        <v>955</v>
      </c>
      <c r="G346" t="s">
        <v>956</v>
      </c>
      <c r="H346" t="s">
        <v>957</v>
      </c>
      <c r="I346" t="s">
        <v>95</v>
      </c>
      <c r="J346" t="s">
        <v>176</v>
      </c>
      <c r="K346" s="30">
        <v>42878</v>
      </c>
      <c r="L346" s="8">
        <v>42878.400902777779</v>
      </c>
      <c r="M346" s="21">
        <f>LEN(ProjTextTable[[#This Row],[text]])</f>
        <v>3239</v>
      </c>
      <c r="N346" s="21">
        <f>LEN(TRIM(CLEAN(SUBSTITUTE(ProjTextTable[[#This Row],[text]],CHAR(10)," "))))+1 - LEN(SUBSTITUTE(CLEAN(SUBSTITUTE(ProjTextTable[[#This Row],[text]],CHAR(10)," "))," ",""))</f>
        <v>503</v>
      </c>
      <c r="O346" t="s">
        <v>202</v>
      </c>
      <c r="P346" t="s">
        <v>1435</v>
      </c>
    </row>
    <row r="347" spans="1:16">
      <c r="A347">
        <f t="shared" si="5"/>
        <v>53</v>
      </c>
      <c r="B347" t="s">
        <v>1429</v>
      </c>
      <c r="C347" t="s">
        <v>1430</v>
      </c>
      <c r="D347" t="s">
        <v>194</v>
      </c>
      <c r="E347" t="s">
        <v>543</v>
      </c>
      <c r="F347" t="s">
        <v>1010</v>
      </c>
      <c r="G347" t="s">
        <v>1011</v>
      </c>
      <c r="H347" t="s">
        <v>1012</v>
      </c>
      <c r="I347" t="s">
        <v>95</v>
      </c>
      <c r="J347" t="s">
        <v>176</v>
      </c>
      <c r="K347" s="30">
        <v>42878</v>
      </c>
      <c r="L347" s="8">
        <v>42876.532534722224</v>
      </c>
      <c r="M347" s="21">
        <f>LEN(ProjTextTable[[#This Row],[text]])</f>
        <v>2740</v>
      </c>
      <c r="N347" s="21">
        <f>LEN(TRIM(CLEAN(SUBSTITUTE(ProjTextTable[[#This Row],[text]],CHAR(10)," "))))+1 - LEN(SUBSTITUTE(CLEAN(SUBSTITUTE(ProjTextTable[[#This Row],[text]],CHAR(10)," "))," ",""))</f>
        <v>385</v>
      </c>
      <c r="O347" t="s">
        <v>251</v>
      </c>
      <c r="P347" t="s">
        <v>1436</v>
      </c>
    </row>
    <row r="348" spans="1:16">
      <c r="A348">
        <f t="shared" si="5"/>
        <v>53</v>
      </c>
      <c r="B348" t="s">
        <v>1429</v>
      </c>
      <c r="C348" t="s">
        <v>1430</v>
      </c>
      <c r="D348" t="s">
        <v>196</v>
      </c>
      <c r="E348" t="s">
        <v>942</v>
      </c>
      <c r="F348" t="s">
        <v>13</v>
      </c>
      <c r="G348" t="s">
        <v>13</v>
      </c>
      <c r="H348" t="s">
        <v>13</v>
      </c>
      <c r="K348" s="30"/>
      <c r="L348" s="8">
        <v>42810.04241898148</v>
      </c>
      <c r="M348" s="21">
        <f>LEN(ProjTextTable[[#This Row],[text]])</f>
        <v>3768</v>
      </c>
      <c r="N348" s="21">
        <f>LEN(TRIM(CLEAN(SUBSTITUTE(ProjTextTable[[#This Row],[text]],CHAR(10)," "))))+1 - LEN(SUBSTITUTE(CLEAN(SUBSTITUTE(ProjTextTable[[#This Row],[text]],CHAR(10)," "))," ",""))</f>
        <v>503</v>
      </c>
      <c r="O348" t="s">
        <v>13</v>
      </c>
      <c r="P348" t="s">
        <v>1437</v>
      </c>
    </row>
    <row r="349" spans="1:16">
      <c r="A349">
        <f t="shared" si="5"/>
        <v>54</v>
      </c>
      <c r="B349" t="s">
        <v>1438</v>
      </c>
      <c r="C349" t="s">
        <v>1439</v>
      </c>
      <c r="D349" t="s">
        <v>205</v>
      </c>
      <c r="E349" t="s">
        <v>942</v>
      </c>
      <c r="F349" t="s">
        <v>943</v>
      </c>
      <c r="G349" t="s">
        <v>944</v>
      </c>
      <c r="H349" t="s">
        <v>921</v>
      </c>
      <c r="I349" t="s">
        <v>193</v>
      </c>
      <c r="J349" t="s">
        <v>396</v>
      </c>
      <c r="K349" s="30">
        <v>42877</v>
      </c>
      <c r="L349" s="8">
        <v>42916.815648148149</v>
      </c>
      <c r="M349" s="21">
        <f>LEN(ProjTextTable[[#This Row],[text]])</f>
        <v>3775</v>
      </c>
      <c r="N349" s="21">
        <f>LEN(TRIM(CLEAN(SUBSTITUTE(ProjTextTable[[#This Row],[text]],CHAR(10)," "))))+1 - LEN(SUBSTITUTE(CLEAN(SUBSTITUTE(ProjTextTable[[#This Row],[text]],CHAR(10)," "))," ",""))</f>
        <v>486</v>
      </c>
      <c r="O349" t="s">
        <v>923</v>
      </c>
      <c r="P349" t="s">
        <v>1440</v>
      </c>
    </row>
    <row r="350" spans="1:16">
      <c r="A350">
        <f t="shared" si="5"/>
        <v>54</v>
      </c>
      <c r="B350" t="s">
        <v>1438</v>
      </c>
      <c r="C350" t="s">
        <v>1439</v>
      </c>
      <c r="D350" t="s">
        <v>194</v>
      </c>
      <c r="E350" t="s">
        <v>543</v>
      </c>
      <c r="F350" t="s">
        <v>959</v>
      </c>
      <c r="G350" t="s">
        <v>960</v>
      </c>
      <c r="H350" t="s">
        <v>961</v>
      </c>
      <c r="I350" t="s">
        <v>95</v>
      </c>
      <c r="J350" t="s">
        <v>176</v>
      </c>
      <c r="K350" s="30">
        <v>42878</v>
      </c>
      <c r="L350" s="8">
        <v>42874.814837962964</v>
      </c>
      <c r="M350" s="21">
        <f>LEN(ProjTextTable[[#This Row],[text]])</f>
        <v>1716</v>
      </c>
      <c r="N350" s="21">
        <f>LEN(TRIM(CLEAN(SUBSTITUTE(ProjTextTable[[#This Row],[text]],CHAR(10)," "))))+1 - LEN(SUBSTITUTE(CLEAN(SUBSTITUTE(ProjTextTable[[#This Row],[text]],CHAR(10)," "))," ",""))</f>
        <v>264</v>
      </c>
      <c r="O350" t="s">
        <v>195</v>
      </c>
      <c r="P350" t="s">
        <v>1441</v>
      </c>
    </row>
    <row r="351" spans="1:16">
      <c r="A351">
        <f t="shared" si="5"/>
        <v>54</v>
      </c>
      <c r="B351" t="s">
        <v>1438</v>
      </c>
      <c r="C351" t="s">
        <v>1439</v>
      </c>
      <c r="D351" t="s">
        <v>194</v>
      </c>
      <c r="E351" t="s">
        <v>543</v>
      </c>
      <c r="F351" t="s">
        <v>1035</v>
      </c>
      <c r="G351" t="s">
        <v>1036</v>
      </c>
      <c r="H351" t="s">
        <v>1037</v>
      </c>
      <c r="I351" t="s">
        <v>95</v>
      </c>
      <c r="J351" t="s">
        <v>176</v>
      </c>
      <c r="K351" s="30">
        <v>42878</v>
      </c>
      <c r="L351" s="8">
        <v>42878.292442129627</v>
      </c>
      <c r="M351" s="21">
        <f>LEN(ProjTextTable[[#This Row],[text]])</f>
        <v>2936</v>
      </c>
      <c r="N351" s="21">
        <f>LEN(TRIM(CLEAN(SUBSTITUTE(ProjTextTable[[#This Row],[text]],CHAR(10)," "))))+1 - LEN(SUBSTITUTE(CLEAN(SUBSTITUTE(ProjTextTable[[#This Row],[text]],CHAR(10)," "))," ",""))</f>
        <v>423</v>
      </c>
      <c r="O351" t="s">
        <v>195</v>
      </c>
      <c r="P351" t="s">
        <v>1442</v>
      </c>
    </row>
    <row r="352" spans="1:16">
      <c r="A352">
        <f t="shared" si="5"/>
        <v>54</v>
      </c>
      <c r="B352" t="s">
        <v>1438</v>
      </c>
      <c r="C352" t="s">
        <v>1439</v>
      </c>
      <c r="D352" t="s">
        <v>194</v>
      </c>
      <c r="E352" t="s">
        <v>543</v>
      </c>
      <c r="F352" t="s">
        <v>1047</v>
      </c>
      <c r="G352" t="s">
        <v>1048</v>
      </c>
      <c r="H352" t="s">
        <v>1049</v>
      </c>
      <c r="I352" t="s">
        <v>95</v>
      </c>
      <c r="J352" t="s">
        <v>176</v>
      </c>
      <c r="K352" s="30">
        <v>42878</v>
      </c>
      <c r="L352" s="8">
        <v>42877.045555555553</v>
      </c>
      <c r="M352" s="21">
        <f>LEN(ProjTextTable[[#This Row],[text]])</f>
        <v>2159</v>
      </c>
      <c r="N352" s="21">
        <f>LEN(TRIM(CLEAN(SUBSTITUTE(ProjTextTable[[#This Row],[text]],CHAR(10)," "))))+1 - LEN(SUBSTITUTE(CLEAN(SUBSTITUTE(ProjTextTable[[#This Row],[text]],CHAR(10)," "))," ",""))</f>
        <v>306</v>
      </c>
      <c r="O352" t="s">
        <v>195</v>
      </c>
      <c r="P352" t="s">
        <v>1443</v>
      </c>
    </row>
    <row r="353" spans="1:16">
      <c r="A353">
        <f t="shared" si="5"/>
        <v>54</v>
      </c>
      <c r="B353" t="s">
        <v>1438</v>
      </c>
      <c r="C353" t="s">
        <v>1439</v>
      </c>
      <c r="D353" t="s">
        <v>196</v>
      </c>
      <c r="E353" t="s">
        <v>942</v>
      </c>
      <c r="F353" t="s">
        <v>13</v>
      </c>
      <c r="G353" t="s">
        <v>13</v>
      </c>
      <c r="H353" t="s">
        <v>13</v>
      </c>
      <c r="K353" s="30"/>
      <c r="L353" s="8">
        <v>42810.04241898148</v>
      </c>
      <c r="M353" s="21">
        <f>LEN(ProjTextTable[[#This Row],[text]])</f>
        <v>4013</v>
      </c>
      <c r="N353" s="21">
        <f>LEN(TRIM(CLEAN(SUBSTITUTE(ProjTextTable[[#This Row],[text]],CHAR(10)," "))))+1 - LEN(SUBSTITUTE(CLEAN(SUBSTITUTE(ProjTextTable[[#This Row],[text]],CHAR(10)," "))," ",""))</f>
        <v>570</v>
      </c>
      <c r="O353" t="s">
        <v>13</v>
      </c>
      <c r="P353" t="s">
        <v>1444</v>
      </c>
    </row>
    <row r="354" spans="1:16">
      <c r="A354">
        <f t="shared" si="5"/>
        <v>55</v>
      </c>
      <c r="B354" t="s">
        <v>1445</v>
      </c>
      <c r="C354" t="s">
        <v>1141</v>
      </c>
      <c r="D354" t="s">
        <v>205</v>
      </c>
      <c r="E354" t="s">
        <v>942</v>
      </c>
      <c r="F354" t="s">
        <v>943</v>
      </c>
      <c r="G354" t="s">
        <v>944</v>
      </c>
      <c r="H354" t="s">
        <v>974</v>
      </c>
      <c r="I354" t="s">
        <v>200</v>
      </c>
      <c r="K354" s="30">
        <v>42877</v>
      </c>
      <c r="L354" s="8"/>
      <c r="M354" s="21">
        <f>LEN(ProjTextTable[[#This Row],[text]])</f>
        <v>1</v>
      </c>
      <c r="N354" s="21">
        <f>LEN(TRIM(CLEAN(SUBSTITUTE(ProjTextTable[[#This Row],[text]],CHAR(10)," "))))+1 - LEN(SUBSTITUTE(CLEAN(SUBSTITUTE(ProjTextTable[[#This Row],[text]],CHAR(10)," "))," ",""))</f>
        <v>1</v>
      </c>
      <c r="O354" t="s">
        <v>975</v>
      </c>
      <c r="P354" t="s">
        <v>13</v>
      </c>
    </row>
    <row r="355" spans="1:16">
      <c r="A355">
        <f t="shared" si="5"/>
        <v>55</v>
      </c>
      <c r="B355" t="s">
        <v>1445</v>
      </c>
      <c r="C355" t="s">
        <v>1141</v>
      </c>
      <c r="D355" t="s">
        <v>951</v>
      </c>
      <c r="E355" t="s">
        <v>942</v>
      </c>
      <c r="F355" t="s">
        <v>1445</v>
      </c>
      <c r="G355" t="s">
        <v>969</v>
      </c>
      <c r="H355" t="s">
        <v>13</v>
      </c>
      <c r="I355" t="s">
        <v>13</v>
      </c>
      <c r="J355" t="s">
        <v>396</v>
      </c>
      <c r="K355" s="30">
        <v>42955.72152777778</v>
      </c>
      <c r="L355" s="8">
        <v>44781.72152777778</v>
      </c>
      <c r="M355" s="21">
        <f>LEN(ProjTextTable[[#This Row],[text]])</f>
        <v>2118</v>
      </c>
      <c r="N355" s="21">
        <f>LEN(TRIM(CLEAN(SUBSTITUTE(ProjTextTable[[#This Row],[text]],CHAR(10)," "))))+1 - LEN(SUBSTITUTE(CLEAN(SUBSTITUTE(ProjTextTable[[#This Row],[text]],CHAR(10)," "))," ",""))</f>
        <v>307</v>
      </c>
      <c r="O355" t="s">
        <v>13</v>
      </c>
      <c r="P355" t="s">
        <v>1405</v>
      </c>
    </row>
    <row r="356" spans="1:16">
      <c r="A356">
        <f t="shared" si="5"/>
        <v>55</v>
      </c>
      <c r="B356" t="s">
        <v>1445</v>
      </c>
      <c r="C356" t="s">
        <v>1141</v>
      </c>
      <c r="D356" t="s">
        <v>194</v>
      </c>
      <c r="E356" t="s">
        <v>543</v>
      </c>
      <c r="F356" t="s">
        <v>1067</v>
      </c>
      <c r="G356" t="s">
        <v>1068</v>
      </c>
      <c r="H356" t="s">
        <v>1069</v>
      </c>
      <c r="I356" t="s">
        <v>95</v>
      </c>
      <c r="J356" t="s">
        <v>176</v>
      </c>
      <c r="K356" s="30">
        <v>42878</v>
      </c>
      <c r="L356" s="8">
        <v>42877.045474537037</v>
      </c>
      <c r="M356" s="21">
        <f>LEN(ProjTextTable[[#This Row],[text]])</f>
        <v>2762</v>
      </c>
      <c r="N356" s="21">
        <f>LEN(TRIM(CLEAN(SUBSTITUTE(ProjTextTable[[#This Row],[text]],CHAR(10)," "))))+1 - LEN(SUBSTITUTE(CLEAN(SUBSTITUTE(ProjTextTable[[#This Row],[text]],CHAR(10)," "))," ",""))</f>
        <v>426</v>
      </c>
      <c r="O356" t="s">
        <v>195</v>
      </c>
      <c r="P356" t="s">
        <v>1446</v>
      </c>
    </row>
    <row r="357" spans="1:16">
      <c r="A357">
        <f t="shared" si="5"/>
        <v>55</v>
      </c>
      <c r="B357" t="s">
        <v>1445</v>
      </c>
      <c r="C357" t="s">
        <v>1141</v>
      </c>
      <c r="D357" t="s">
        <v>194</v>
      </c>
      <c r="E357" t="s">
        <v>543</v>
      </c>
      <c r="F357" t="s">
        <v>1014</v>
      </c>
      <c r="G357" t="s">
        <v>1015</v>
      </c>
      <c r="H357" t="s">
        <v>1016</v>
      </c>
      <c r="I357" t="s">
        <v>95</v>
      </c>
      <c r="J357" t="s">
        <v>176</v>
      </c>
      <c r="K357" s="30">
        <v>42878</v>
      </c>
      <c r="L357" s="8">
        <v>42877.312094907407</v>
      </c>
      <c r="M357" s="21">
        <f>LEN(ProjTextTable[[#This Row],[text]])</f>
        <v>3734</v>
      </c>
      <c r="N357" s="21">
        <f>LEN(TRIM(CLEAN(SUBSTITUTE(ProjTextTable[[#This Row],[text]],CHAR(10)," "))))+1 - LEN(SUBSTITUTE(CLEAN(SUBSTITUTE(ProjTextTable[[#This Row],[text]],CHAR(10)," "))," ",""))</f>
        <v>562</v>
      </c>
      <c r="O357" t="s">
        <v>195</v>
      </c>
      <c r="P357" t="s">
        <v>1447</v>
      </c>
    </row>
    <row r="358" spans="1:16">
      <c r="A358">
        <f t="shared" si="5"/>
        <v>55</v>
      </c>
      <c r="B358" t="s">
        <v>1445</v>
      </c>
      <c r="C358" t="s">
        <v>1141</v>
      </c>
      <c r="D358" t="s">
        <v>194</v>
      </c>
      <c r="E358" t="s">
        <v>543</v>
      </c>
      <c r="F358" t="s">
        <v>963</v>
      </c>
      <c r="G358" t="s">
        <v>964</v>
      </c>
      <c r="H358" t="s">
        <v>965</v>
      </c>
      <c r="I358" t="s">
        <v>95</v>
      </c>
      <c r="J358" t="s">
        <v>176</v>
      </c>
      <c r="K358" s="30">
        <v>42878</v>
      </c>
      <c r="L358" s="8">
        <v>42878.557997685188</v>
      </c>
      <c r="M358" s="21">
        <f>LEN(ProjTextTable[[#This Row],[text]])</f>
        <v>2291</v>
      </c>
      <c r="N358" s="21">
        <f>LEN(TRIM(CLEAN(SUBSTITUTE(ProjTextTable[[#This Row],[text]],CHAR(10)," "))))+1 - LEN(SUBSTITUTE(CLEAN(SUBSTITUTE(ProjTextTable[[#This Row],[text]],CHAR(10)," "))," ",""))</f>
        <v>320</v>
      </c>
      <c r="O358" t="s">
        <v>201</v>
      </c>
      <c r="P358" t="s">
        <v>1448</v>
      </c>
    </row>
    <row r="359" spans="1:16">
      <c r="A359">
        <f t="shared" si="5"/>
        <v>55</v>
      </c>
      <c r="B359" t="s">
        <v>1445</v>
      </c>
      <c r="C359" t="s">
        <v>1141</v>
      </c>
      <c r="D359" t="s">
        <v>196</v>
      </c>
      <c r="E359" t="s">
        <v>942</v>
      </c>
      <c r="F359" t="s">
        <v>13</v>
      </c>
      <c r="G359" t="s">
        <v>13</v>
      </c>
      <c r="H359" t="s">
        <v>13</v>
      </c>
      <c r="K359" s="30"/>
      <c r="L359" s="8">
        <v>42810.04241898148</v>
      </c>
      <c r="M359" s="21">
        <f>LEN(ProjTextTable[[#This Row],[text]])</f>
        <v>3440</v>
      </c>
      <c r="N359" s="21">
        <f>LEN(TRIM(CLEAN(SUBSTITUTE(ProjTextTable[[#This Row],[text]],CHAR(10)," "))))+1 - LEN(SUBSTITUTE(CLEAN(SUBSTITUTE(ProjTextTable[[#This Row],[text]],CHAR(10)," "))," ",""))</f>
        <v>502</v>
      </c>
      <c r="O359" t="s">
        <v>13</v>
      </c>
      <c r="P359" t="s">
        <v>1449</v>
      </c>
    </row>
    <row r="360" spans="1:16">
      <c r="A360">
        <f t="shared" si="5"/>
        <v>56</v>
      </c>
      <c r="B360" t="s">
        <v>1450</v>
      </c>
      <c r="C360" t="s">
        <v>1451</v>
      </c>
      <c r="D360" t="s">
        <v>205</v>
      </c>
      <c r="E360" t="s">
        <v>942</v>
      </c>
      <c r="F360" t="s">
        <v>943</v>
      </c>
      <c r="G360" t="s">
        <v>944</v>
      </c>
      <c r="H360" t="s">
        <v>974</v>
      </c>
      <c r="I360" t="s">
        <v>200</v>
      </c>
      <c r="K360" s="30">
        <v>42877</v>
      </c>
      <c r="L360" s="8"/>
      <c r="M360" s="21">
        <f>LEN(ProjTextTable[[#This Row],[text]])</f>
        <v>1</v>
      </c>
      <c r="N360" s="21">
        <f>LEN(TRIM(CLEAN(SUBSTITUTE(ProjTextTable[[#This Row],[text]],CHAR(10)," "))))+1 - LEN(SUBSTITUTE(CLEAN(SUBSTITUTE(ProjTextTable[[#This Row],[text]],CHAR(10)," "))," ",""))</f>
        <v>1</v>
      </c>
      <c r="O360" t="s">
        <v>975</v>
      </c>
      <c r="P360" t="s">
        <v>13</v>
      </c>
    </row>
    <row r="361" spans="1:16">
      <c r="A361">
        <f t="shared" si="5"/>
        <v>56</v>
      </c>
      <c r="B361" t="s">
        <v>1450</v>
      </c>
      <c r="C361" t="s">
        <v>1451</v>
      </c>
      <c r="D361" t="s">
        <v>951</v>
      </c>
      <c r="E361" t="s">
        <v>942</v>
      </c>
      <c r="F361" t="s">
        <v>1450</v>
      </c>
      <c r="G361" t="s">
        <v>969</v>
      </c>
      <c r="H361" t="s">
        <v>13</v>
      </c>
      <c r="I361" t="s">
        <v>13</v>
      </c>
      <c r="J361" t="s">
        <v>396</v>
      </c>
      <c r="K361" s="30">
        <v>42955.722916666666</v>
      </c>
      <c r="L361" s="8">
        <v>44781.722916666666</v>
      </c>
      <c r="M361" s="21">
        <f>LEN(ProjTextTable[[#This Row],[text]])</f>
        <v>2118</v>
      </c>
      <c r="N361" s="21">
        <f>LEN(TRIM(CLEAN(SUBSTITUTE(ProjTextTable[[#This Row],[text]],CHAR(10)," "))))+1 - LEN(SUBSTITUTE(CLEAN(SUBSTITUTE(ProjTextTable[[#This Row],[text]],CHAR(10)," "))," ",""))</f>
        <v>307</v>
      </c>
      <c r="O361" t="s">
        <v>13</v>
      </c>
      <c r="P361" t="s">
        <v>1405</v>
      </c>
    </row>
    <row r="362" spans="1:16">
      <c r="A362">
        <f t="shared" si="5"/>
        <v>56</v>
      </c>
      <c r="B362" t="s">
        <v>1450</v>
      </c>
      <c r="C362" t="s">
        <v>1451</v>
      </c>
      <c r="D362" t="s">
        <v>194</v>
      </c>
      <c r="E362" t="s">
        <v>543</v>
      </c>
      <c r="F362" t="s">
        <v>1035</v>
      </c>
      <c r="G362" t="s">
        <v>1036</v>
      </c>
      <c r="H362" t="s">
        <v>1037</v>
      </c>
      <c r="I362" t="s">
        <v>95</v>
      </c>
      <c r="J362" t="s">
        <v>176</v>
      </c>
      <c r="K362" s="30">
        <v>42878</v>
      </c>
      <c r="L362" s="8">
        <v>42872.390659722223</v>
      </c>
      <c r="M362" s="21">
        <f>LEN(ProjTextTable[[#This Row],[text]])</f>
        <v>2879</v>
      </c>
      <c r="N362" s="21">
        <f>LEN(TRIM(CLEAN(SUBSTITUTE(ProjTextTable[[#This Row],[text]],CHAR(10)," "))))+1 - LEN(SUBSTITUTE(CLEAN(SUBSTITUTE(ProjTextTable[[#This Row],[text]],CHAR(10)," "))," ",""))</f>
        <v>434</v>
      </c>
      <c r="O362" t="s">
        <v>195</v>
      </c>
      <c r="P362" t="s">
        <v>1452</v>
      </c>
    </row>
    <row r="363" spans="1:16">
      <c r="A363">
        <f t="shared" si="5"/>
        <v>56</v>
      </c>
      <c r="B363" t="s">
        <v>1450</v>
      </c>
      <c r="C363" t="s">
        <v>1451</v>
      </c>
      <c r="D363" t="s">
        <v>194</v>
      </c>
      <c r="E363" t="s">
        <v>543</v>
      </c>
      <c r="F363" t="s">
        <v>1155</v>
      </c>
      <c r="G363" t="s">
        <v>1156</v>
      </c>
      <c r="H363" t="s">
        <v>1157</v>
      </c>
      <c r="I363" t="s">
        <v>95</v>
      </c>
      <c r="J363" t="s">
        <v>176</v>
      </c>
      <c r="K363" s="30">
        <v>42878</v>
      </c>
      <c r="L363" s="8">
        <v>42876.951932870368</v>
      </c>
      <c r="M363" s="21">
        <f>LEN(ProjTextTable[[#This Row],[text]])</f>
        <v>3585</v>
      </c>
      <c r="N363" s="21">
        <f>LEN(TRIM(CLEAN(SUBSTITUTE(ProjTextTable[[#This Row],[text]],CHAR(10)," "))))+1 - LEN(SUBSTITUTE(CLEAN(SUBSTITUTE(ProjTextTable[[#This Row],[text]],CHAR(10)," "))," ",""))</f>
        <v>551</v>
      </c>
      <c r="O363" t="s">
        <v>195</v>
      </c>
      <c r="P363" t="s">
        <v>1453</v>
      </c>
    </row>
    <row r="364" spans="1:16">
      <c r="A364">
        <f t="shared" si="5"/>
        <v>56</v>
      </c>
      <c r="B364" t="s">
        <v>1450</v>
      </c>
      <c r="C364" t="s">
        <v>1451</v>
      </c>
      <c r="D364" t="s">
        <v>194</v>
      </c>
      <c r="E364" t="s">
        <v>543</v>
      </c>
      <c r="F364" t="s">
        <v>1047</v>
      </c>
      <c r="G364" t="s">
        <v>1048</v>
      </c>
      <c r="H364" t="s">
        <v>1049</v>
      </c>
      <c r="I364" t="s">
        <v>95</v>
      </c>
      <c r="J364" t="s">
        <v>176</v>
      </c>
      <c r="K364" s="30">
        <v>42878</v>
      </c>
      <c r="L364" s="8">
        <v>42884.198530092595</v>
      </c>
      <c r="M364" s="21">
        <f>LEN(ProjTextTable[[#This Row],[text]])</f>
        <v>1496</v>
      </c>
      <c r="N364" s="21">
        <f>LEN(TRIM(CLEAN(SUBSTITUTE(ProjTextTable[[#This Row],[text]],CHAR(10)," "))))+1 - LEN(SUBSTITUTE(CLEAN(SUBSTITUTE(ProjTextTable[[#This Row],[text]],CHAR(10)," "))," ",""))</f>
        <v>214</v>
      </c>
      <c r="O364" t="s">
        <v>201</v>
      </c>
      <c r="P364" t="s">
        <v>1454</v>
      </c>
    </row>
    <row r="365" spans="1:16">
      <c r="A365">
        <f t="shared" si="5"/>
        <v>56</v>
      </c>
      <c r="B365" t="s">
        <v>1450</v>
      </c>
      <c r="C365" t="s">
        <v>1451</v>
      </c>
      <c r="D365" t="s">
        <v>196</v>
      </c>
      <c r="E365" t="s">
        <v>942</v>
      </c>
      <c r="F365" t="s">
        <v>13</v>
      </c>
      <c r="G365" t="s">
        <v>13</v>
      </c>
      <c r="H365" t="s">
        <v>13</v>
      </c>
      <c r="K365" s="30"/>
      <c r="L365" s="8">
        <v>42810.04241898148</v>
      </c>
      <c r="M365" s="21">
        <f>LEN(ProjTextTable[[#This Row],[text]])</f>
        <v>2628</v>
      </c>
      <c r="N365" s="21">
        <f>LEN(TRIM(CLEAN(SUBSTITUTE(ProjTextTable[[#This Row],[text]],CHAR(10)," "))))+1 - LEN(SUBSTITUTE(CLEAN(SUBSTITUTE(ProjTextTable[[#This Row],[text]],CHAR(10)," "))," ",""))</f>
        <v>376</v>
      </c>
      <c r="O365" t="s">
        <v>13</v>
      </c>
      <c r="P365" t="s">
        <v>1455</v>
      </c>
    </row>
    <row r="366" spans="1:16">
      <c r="A366">
        <f t="shared" si="5"/>
        <v>57</v>
      </c>
      <c r="B366" t="s">
        <v>1456</v>
      </c>
      <c r="C366" t="s">
        <v>1457</v>
      </c>
      <c r="D366" t="s">
        <v>205</v>
      </c>
      <c r="E366" t="s">
        <v>942</v>
      </c>
      <c r="F366" t="s">
        <v>943</v>
      </c>
      <c r="G366" t="s">
        <v>944</v>
      </c>
      <c r="H366" t="s">
        <v>1004</v>
      </c>
      <c r="I366" t="s">
        <v>197</v>
      </c>
      <c r="J366" t="s">
        <v>193</v>
      </c>
      <c r="K366" s="30">
        <v>42877</v>
      </c>
      <c r="L366" s="8">
        <v>42929.706145833334</v>
      </c>
      <c r="M366" s="21">
        <f>LEN(ProjTextTable[[#This Row],[text]])</f>
        <v>4541</v>
      </c>
      <c r="N366" s="21">
        <f>LEN(TRIM(CLEAN(SUBSTITUTE(ProjTextTable[[#This Row],[text]],CHAR(10)," "))))+1 - LEN(SUBSTITUTE(CLEAN(SUBSTITUTE(ProjTextTable[[#This Row],[text]],CHAR(10)," "))," ",""))</f>
        <v>670</v>
      </c>
      <c r="O366" t="s">
        <v>176</v>
      </c>
      <c r="P366" t="s">
        <v>1458</v>
      </c>
    </row>
    <row r="367" spans="1:16">
      <c r="A367">
        <f t="shared" si="5"/>
        <v>57</v>
      </c>
      <c r="B367" t="s">
        <v>1456</v>
      </c>
      <c r="C367" t="s">
        <v>1457</v>
      </c>
      <c r="D367" t="s">
        <v>397</v>
      </c>
      <c r="E367" t="s">
        <v>942</v>
      </c>
      <c r="F367" t="s">
        <v>13</v>
      </c>
      <c r="G367" t="s">
        <v>969</v>
      </c>
      <c r="H367" t="s">
        <v>13</v>
      </c>
      <c r="I367" t="s">
        <v>13</v>
      </c>
      <c r="K367" s="30"/>
      <c r="L367" s="8">
        <v>42929.711875000001</v>
      </c>
      <c r="M367" s="21">
        <f>LEN(ProjTextTable[[#This Row],[text]])</f>
        <v>2671</v>
      </c>
      <c r="N367" s="21">
        <f>LEN(TRIM(CLEAN(SUBSTITUTE(ProjTextTable[[#This Row],[text]],CHAR(10)," "))))+1 - LEN(SUBSTITUTE(CLEAN(SUBSTITUTE(ProjTextTable[[#This Row],[text]],CHAR(10)," "))," ",""))</f>
        <v>380</v>
      </c>
      <c r="O367" t="s">
        <v>13</v>
      </c>
      <c r="P367" t="s">
        <v>1459</v>
      </c>
    </row>
    <row r="368" spans="1:16">
      <c r="A368">
        <f t="shared" si="5"/>
        <v>57</v>
      </c>
      <c r="B368" t="s">
        <v>1456</v>
      </c>
      <c r="C368" t="s">
        <v>1457</v>
      </c>
      <c r="D368" t="s">
        <v>951</v>
      </c>
      <c r="E368" t="s">
        <v>942</v>
      </c>
      <c r="F368" t="s">
        <v>1456</v>
      </c>
      <c r="G368" t="s">
        <v>969</v>
      </c>
      <c r="H368" t="s">
        <v>13</v>
      </c>
      <c r="I368" t="s">
        <v>13</v>
      </c>
      <c r="J368" t="s">
        <v>953</v>
      </c>
      <c r="K368" s="30">
        <v>42930.333333333336</v>
      </c>
      <c r="L368" s="8">
        <v>44756.333333333336</v>
      </c>
      <c r="M368" s="21">
        <f>LEN(ProjTextTable[[#This Row],[text]])</f>
        <v>7059</v>
      </c>
      <c r="N368" s="21">
        <f>LEN(TRIM(CLEAN(SUBSTITUTE(ProjTextTable[[#This Row],[text]],CHAR(10)," "))))+1 - LEN(SUBSTITUTE(CLEAN(SUBSTITUTE(ProjTextTable[[#This Row],[text]],CHAR(10)," "))," ",""))</f>
        <v>1005</v>
      </c>
      <c r="O368" t="s">
        <v>13</v>
      </c>
      <c r="P368" t="s">
        <v>1460</v>
      </c>
    </row>
    <row r="369" spans="1:16">
      <c r="A369">
        <f t="shared" si="5"/>
        <v>57</v>
      </c>
      <c r="B369" t="s">
        <v>1456</v>
      </c>
      <c r="C369" t="s">
        <v>1457</v>
      </c>
      <c r="D369" t="s">
        <v>194</v>
      </c>
      <c r="E369" t="s">
        <v>543</v>
      </c>
      <c r="F369" t="s">
        <v>963</v>
      </c>
      <c r="G369" t="s">
        <v>964</v>
      </c>
      <c r="H369" t="s">
        <v>965</v>
      </c>
      <c r="I369" t="s">
        <v>95</v>
      </c>
      <c r="J369" t="s">
        <v>176</v>
      </c>
      <c r="K369" s="30">
        <v>42878</v>
      </c>
      <c r="L369" s="8">
        <v>42878.372719907406</v>
      </c>
      <c r="M369" s="21">
        <f>LEN(ProjTextTable[[#This Row],[text]])</f>
        <v>5499</v>
      </c>
      <c r="N369" s="21">
        <f>LEN(TRIM(CLEAN(SUBSTITUTE(ProjTextTable[[#This Row],[text]],CHAR(10)," "))))+1 - LEN(SUBSTITUTE(CLEAN(SUBSTITUTE(ProjTextTable[[#This Row],[text]],CHAR(10)," "))," ",""))</f>
        <v>791</v>
      </c>
      <c r="O369" t="s">
        <v>199</v>
      </c>
      <c r="P369" t="s">
        <v>1461</v>
      </c>
    </row>
    <row r="370" spans="1:16">
      <c r="A370">
        <f t="shared" si="5"/>
        <v>57</v>
      </c>
      <c r="B370" t="s">
        <v>1456</v>
      </c>
      <c r="C370" t="s">
        <v>1457</v>
      </c>
      <c r="D370" t="s">
        <v>194</v>
      </c>
      <c r="E370" t="s">
        <v>543</v>
      </c>
      <c r="F370" t="s">
        <v>1059</v>
      </c>
      <c r="G370" t="s">
        <v>1060</v>
      </c>
      <c r="H370" t="s">
        <v>1061</v>
      </c>
      <c r="I370" t="s">
        <v>95</v>
      </c>
      <c r="J370" t="s">
        <v>176</v>
      </c>
      <c r="K370" s="30">
        <v>42878</v>
      </c>
      <c r="L370" s="8">
        <v>42877.645104166666</v>
      </c>
      <c r="M370" s="21">
        <f>LEN(ProjTextTable[[#This Row],[text]])</f>
        <v>3265</v>
      </c>
      <c r="N370" s="21">
        <f>LEN(TRIM(CLEAN(SUBSTITUTE(ProjTextTable[[#This Row],[text]],CHAR(10)," "))))+1 - LEN(SUBSTITUTE(CLEAN(SUBSTITUTE(ProjTextTable[[#This Row],[text]],CHAR(10)," "))," ",""))</f>
        <v>506</v>
      </c>
      <c r="O370" t="s">
        <v>199</v>
      </c>
      <c r="P370" t="s">
        <v>1462</v>
      </c>
    </row>
    <row r="371" spans="1:16">
      <c r="A371">
        <f t="shared" si="5"/>
        <v>57</v>
      </c>
      <c r="B371" t="s">
        <v>1456</v>
      </c>
      <c r="C371" t="s">
        <v>1457</v>
      </c>
      <c r="D371" t="s">
        <v>194</v>
      </c>
      <c r="E371" t="s">
        <v>543</v>
      </c>
      <c r="F371" t="s">
        <v>1018</v>
      </c>
      <c r="G371" t="s">
        <v>1019</v>
      </c>
      <c r="H371" t="s">
        <v>1020</v>
      </c>
      <c r="I371" t="s">
        <v>95</v>
      </c>
      <c r="J371" t="s">
        <v>176</v>
      </c>
      <c r="K371" s="30">
        <v>42878</v>
      </c>
      <c r="L371" s="8">
        <v>42877.408518518518</v>
      </c>
      <c r="M371" s="21">
        <f>LEN(ProjTextTable[[#This Row],[text]])</f>
        <v>2375</v>
      </c>
      <c r="N371" s="21">
        <f>LEN(TRIM(CLEAN(SUBSTITUTE(ProjTextTable[[#This Row],[text]],CHAR(10)," "))))+1 - LEN(SUBSTITUTE(CLEAN(SUBSTITUTE(ProjTextTable[[#This Row],[text]],CHAR(10)," "))," ",""))</f>
        <v>350</v>
      </c>
      <c r="O371" t="s">
        <v>251</v>
      </c>
      <c r="P371" t="s">
        <v>1463</v>
      </c>
    </row>
    <row r="372" spans="1:16">
      <c r="A372">
        <f t="shared" si="5"/>
        <v>57</v>
      </c>
      <c r="B372" t="s">
        <v>1456</v>
      </c>
      <c r="C372" t="s">
        <v>1457</v>
      </c>
      <c r="D372" t="s">
        <v>196</v>
      </c>
      <c r="E372" t="s">
        <v>942</v>
      </c>
      <c r="F372" t="s">
        <v>13</v>
      </c>
      <c r="G372" t="s">
        <v>13</v>
      </c>
      <c r="H372" t="s">
        <v>13</v>
      </c>
      <c r="K372" s="30"/>
      <c r="L372" s="8">
        <v>42810.042430555557</v>
      </c>
      <c r="M372" s="21">
        <f>LEN(ProjTextTable[[#This Row],[text]])</f>
        <v>4192</v>
      </c>
      <c r="N372" s="21">
        <f>LEN(TRIM(CLEAN(SUBSTITUTE(ProjTextTable[[#This Row],[text]],CHAR(10)," "))))+1 - LEN(SUBSTITUTE(CLEAN(SUBSTITUTE(ProjTextTable[[#This Row],[text]],CHAR(10)," "))," ",""))</f>
        <v>614</v>
      </c>
      <c r="O372" t="s">
        <v>13</v>
      </c>
      <c r="P372" t="s">
        <v>1464</v>
      </c>
    </row>
    <row r="373" spans="1:16">
      <c r="A373">
        <f t="shared" si="5"/>
        <v>58</v>
      </c>
      <c r="B373" t="s">
        <v>1465</v>
      </c>
      <c r="C373" t="s">
        <v>1019</v>
      </c>
      <c r="D373" t="s">
        <v>205</v>
      </c>
      <c r="E373" t="s">
        <v>942</v>
      </c>
      <c r="F373" t="s">
        <v>943</v>
      </c>
      <c r="G373" t="s">
        <v>944</v>
      </c>
      <c r="H373" t="s">
        <v>1004</v>
      </c>
      <c r="I373" t="s">
        <v>197</v>
      </c>
      <c r="J373" t="s">
        <v>252</v>
      </c>
      <c r="K373" s="30">
        <v>42877</v>
      </c>
      <c r="L373" s="8">
        <v>42928.602141203701</v>
      </c>
      <c r="M373" s="21">
        <f>LEN(ProjTextTable[[#This Row],[text]])</f>
        <v>3345</v>
      </c>
      <c r="N373" s="21">
        <f>LEN(TRIM(CLEAN(SUBSTITUTE(ProjTextTable[[#This Row],[text]],CHAR(10)," "))))+1 - LEN(SUBSTITUTE(CLEAN(SUBSTITUTE(ProjTextTable[[#This Row],[text]],CHAR(10)," "))," ",""))</f>
        <v>464</v>
      </c>
      <c r="O373" t="s">
        <v>176</v>
      </c>
      <c r="P373" t="s">
        <v>1466</v>
      </c>
    </row>
    <row r="374" spans="1:16">
      <c r="A374">
        <f t="shared" si="5"/>
        <v>58</v>
      </c>
      <c r="B374" t="s">
        <v>1465</v>
      </c>
      <c r="C374" t="s">
        <v>1019</v>
      </c>
      <c r="D374" t="s">
        <v>397</v>
      </c>
      <c r="E374" t="s">
        <v>543</v>
      </c>
      <c r="F374" t="s">
        <v>13</v>
      </c>
      <c r="G374" t="s">
        <v>987</v>
      </c>
      <c r="H374" t="s">
        <v>13</v>
      </c>
      <c r="I374" t="s">
        <v>13</v>
      </c>
      <c r="K374" s="30"/>
      <c r="L374" s="8">
        <v>42928.667523148149</v>
      </c>
      <c r="M374" s="21">
        <f>LEN(ProjTextTable[[#This Row],[text]])</f>
        <v>2988</v>
      </c>
      <c r="N374" s="21">
        <f>LEN(TRIM(CLEAN(SUBSTITUTE(ProjTextTable[[#This Row],[text]],CHAR(10)," "))))+1 - LEN(SUBSTITUTE(CLEAN(SUBSTITUTE(ProjTextTable[[#This Row],[text]],CHAR(10)," "))," ",""))</f>
        <v>395</v>
      </c>
      <c r="O374" t="s">
        <v>13</v>
      </c>
      <c r="P374" t="s">
        <v>1467</v>
      </c>
    </row>
    <row r="375" spans="1:16">
      <c r="A375">
        <f t="shared" si="5"/>
        <v>58</v>
      </c>
      <c r="B375" t="s">
        <v>1465</v>
      </c>
      <c r="C375" t="s">
        <v>1019</v>
      </c>
      <c r="D375" t="s">
        <v>951</v>
      </c>
      <c r="E375" t="s">
        <v>543</v>
      </c>
      <c r="F375" t="s">
        <v>1465</v>
      </c>
      <c r="G375" t="s">
        <v>987</v>
      </c>
      <c r="H375" t="s">
        <v>13</v>
      </c>
      <c r="I375" t="s">
        <v>13</v>
      </c>
      <c r="J375" t="s">
        <v>953</v>
      </c>
      <c r="K375" s="30">
        <v>42928.658333333333</v>
      </c>
      <c r="L375" s="8">
        <v>44754.658333333333</v>
      </c>
      <c r="M375" s="21">
        <f>LEN(ProjTextTable[[#This Row],[text]])</f>
        <v>6173</v>
      </c>
      <c r="N375" s="21">
        <f>LEN(TRIM(CLEAN(SUBSTITUTE(ProjTextTable[[#This Row],[text]],CHAR(10)," "))))+1 - LEN(SUBSTITUTE(CLEAN(SUBSTITUTE(ProjTextTable[[#This Row],[text]],CHAR(10)," "))," ",""))</f>
        <v>904</v>
      </c>
      <c r="O375" t="s">
        <v>13</v>
      </c>
      <c r="P375" t="s">
        <v>1468</v>
      </c>
    </row>
    <row r="376" spans="1:16">
      <c r="A376">
        <f t="shared" si="5"/>
        <v>58</v>
      </c>
      <c r="B376" t="s">
        <v>1465</v>
      </c>
      <c r="C376" t="s">
        <v>1019</v>
      </c>
      <c r="D376" t="s">
        <v>2</v>
      </c>
      <c r="E376" t="s">
        <v>543</v>
      </c>
      <c r="F376" t="s">
        <v>13</v>
      </c>
      <c r="G376" t="s">
        <v>925</v>
      </c>
      <c r="H376" t="s">
        <v>13</v>
      </c>
      <c r="I376" t="s">
        <v>13</v>
      </c>
      <c r="K376" s="30"/>
      <c r="L376" s="8">
        <v>42928.658391203702</v>
      </c>
      <c r="M376" s="21">
        <f>LEN(ProjTextTable[[#This Row],[text]])</f>
        <v>7510</v>
      </c>
      <c r="N376" s="21">
        <f>LEN(TRIM(CLEAN(SUBSTITUTE(ProjTextTable[[#This Row],[text]],CHAR(10)," "))))+1 - LEN(SUBSTITUTE(CLEAN(SUBSTITUTE(ProjTextTable[[#This Row],[text]],CHAR(10)," "))," ",""))</f>
        <v>1092</v>
      </c>
      <c r="O376" t="s">
        <v>13</v>
      </c>
      <c r="P376" t="s">
        <v>1469</v>
      </c>
    </row>
    <row r="377" spans="1:16">
      <c r="A377">
        <f t="shared" si="5"/>
        <v>58</v>
      </c>
      <c r="B377" t="s">
        <v>1465</v>
      </c>
      <c r="C377" t="s">
        <v>1019</v>
      </c>
      <c r="D377" t="s">
        <v>194</v>
      </c>
      <c r="E377" t="s">
        <v>543</v>
      </c>
      <c r="F377" t="s">
        <v>1227</v>
      </c>
      <c r="G377" t="s">
        <v>1228</v>
      </c>
      <c r="H377" t="s">
        <v>1229</v>
      </c>
      <c r="I377" t="s">
        <v>95</v>
      </c>
      <c r="J377" t="s">
        <v>176</v>
      </c>
      <c r="K377" s="30">
        <v>42878</v>
      </c>
      <c r="L377" s="8">
        <v>42874.596736111111</v>
      </c>
      <c r="M377" s="21">
        <f>LEN(ProjTextTable[[#This Row],[text]])</f>
        <v>6527</v>
      </c>
      <c r="N377" s="21">
        <f>LEN(TRIM(CLEAN(SUBSTITUTE(ProjTextTable[[#This Row],[text]],CHAR(10)," "))))+1 - LEN(SUBSTITUTE(CLEAN(SUBSTITUTE(ProjTextTable[[#This Row],[text]],CHAR(10)," "))," ",""))</f>
        <v>962</v>
      </c>
      <c r="O377" t="s">
        <v>199</v>
      </c>
      <c r="P377" t="s">
        <v>1470</v>
      </c>
    </row>
    <row r="378" spans="1:16">
      <c r="A378">
        <f t="shared" si="5"/>
        <v>58</v>
      </c>
      <c r="B378" t="s">
        <v>1465</v>
      </c>
      <c r="C378" t="s">
        <v>1019</v>
      </c>
      <c r="D378" t="s">
        <v>194</v>
      </c>
      <c r="E378" t="s">
        <v>543</v>
      </c>
      <c r="F378" t="s">
        <v>1059</v>
      </c>
      <c r="G378" t="s">
        <v>1060</v>
      </c>
      <c r="H378" t="s">
        <v>1061</v>
      </c>
      <c r="I378" t="s">
        <v>95</v>
      </c>
      <c r="J378" t="s">
        <v>176</v>
      </c>
      <c r="K378" s="30">
        <v>42878</v>
      </c>
      <c r="L378" s="8">
        <v>42876.901192129626</v>
      </c>
      <c r="M378" s="21">
        <f>LEN(ProjTextTable[[#This Row],[text]])</f>
        <v>2945</v>
      </c>
      <c r="N378" s="21">
        <f>LEN(TRIM(CLEAN(SUBSTITUTE(ProjTextTable[[#This Row],[text]],CHAR(10)," "))))+1 - LEN(SUBSTITUTE(CLEAN(SUBSTITUTE(ProjTextTable[[#This Row],[text]],CHAR(10)," "))," ",""))</f>
        <v>427</v>
      </c>
      <c r="O378" t="s">
        <v>195</v>
      </c>
      <c r="P378" t="s">
        <v>1471</v>
      </c>
    </row>
    <row r="379" spans="1:16">
      <c r="A379">
        <f t="shared" si="5"/>
        <v>58</v>
      </c>
      <c r="B379" t="s">
        <v>1465</v>
      </c>
      <c r="C379" t="s">
        <v>1019</v>
      </c>
      <c r="D379" t="s">
        <v>194</v>
      </c>
      <c r="E379" t="s">
        <v>543</v>
      </c>
      <c r="F379" t="s">
        <v>1047</v>
      </c>
      <c r="G379" t="s">
        <v>1048</v>
      </c>
      <c r="H379" t="s">
        <v>1049</v>
      </c>
      <c r="I379" t="s">
        <v>95</v>
      </c>
      <c r="J379" t="s">
        <v>176</v>
      </c>
      <c r="K379" s="30">
        <v>42878</v>
      </c>
      <c r="L379" s="8">
        <v>42884.153831018521</v>
      </c>
      <c r="M379" s="21">
        <f>LEN(ProjTextTable[[#This Row],[text]])</f>
        <v>2931</v>
      </c>
      <c r="N379" s="21">
        <f>LEN(TRIM(CLEAN(SUBSTITUTE(ProjTextTable[[#This Row],[text]],CHAR(10)," "))))+1 - LEN(SUBSTITUTE(CLEAN(SUBSTITUTE(ProjTextTable[[#This Row],[text]],CHAR(10)," "))," ",""))</f>
        <v>427</v>
      </c>
      <c r="O379" t="s">
        <v>195</v>
      </c>
      <c r="P379" t="s">
        <v>1472</v>
      </c>
    </row>
    <row r="380" spans="1:16">
      <c r="A380">
        <f t="shared" si="5"/>
        <v>58</v>
      </c>
      <c r="B380" t="s">
        <v>1465</v>
      </c>
      <c r="C380" t="s">
        <v>1019</v>
      </c>
      <c r="D380" t="s">
        <v>196</v>
      </c>
      <c r="E380" t="s">
        <v>543</v>
      </c>
      <c r="F380" t="s">
        <v>13</v>
      </c>
      <c r="G380" t="s">
        <v>13</v>
      </c>
      <c r="H380" t="s">
        <v>13</v>
      </c>
      <c r="K380" s="30"/>
      <c r="L380" s="8">
        <v>42810.042430555557</v>
      </c>
      <c r="M380" s="21">
        <f>LEN(ProjTextTable[[#This Row],[text]])</f>
        <v>4519</v>
      </c>
      <c r="N380" s="21">
        <f>LEN(TRIM(CLEAN(SUBSTITUTE(ProjTextTable[[#This Row],[text]],CHAR(10)," "))))+1 - LEN(SUBSTITUTE(CLEAN(SUBSTITUTE(ProjTextTable[[#This Row],[text]],CHAR(10)," "))," ",""))</f>
        <v>623</v>
      </c>
      <c r="O380" t="s">
        <v>13</v>
      </c>
      <c r="P380" t="s">
        <v>1473</v>
      </c>
    </row>
    <row r="381" spans="1:16">
      <c r="A381">
        <f t="shared" si="5"/>
        <v>59</v>
      </c>
      <c r="B381" t="s">
        <v>1474</v>
      </c>
      <c r="C381" t="s">
        <v>1475</v>
      </c>
      <c r="D381" t="s">
        <v>205</v>
      </c>
      <c r="E381" t="s">
        <v>942</v>
      </c>
      <c r="F381" t="s">
        <v>943</v>
      </c>
      <c r="G381" t="s">
        <v>944</v>
      </c>
      <c r="H381" t="s">
        <v>974</v>
      </c>
      <c r="I381" t="s">
        <v>200</v>
      </c>
      <c r="K381" s="30">
        <v>42877</v>
      </c>
      <c r="L381" s="8"/>
      <c r="M381" s="21">
        <f>LEN(ProjTextTable[[#This Row],[text]])</f>
        <v>1</v>
      </c>
      <c r="N381" s="21">
        <f>LEN(TRIM(CLEAN(SUBSTITUTE(ProjTextTable[[#This Row],[text]],CHAR(10)," "))))+1 - LEN(SUBSTITUTE(CLEAN(SUBSTITUTE(ProjTextTable[[#This Row],[text]],CHAR(10)," "))," ",""))</f>
        <v>1</v>
      </c>
      <c r="O381" t="s">
        <v>975</v>
      </c>
      <c r="P381" t="s">
        <v>13</v>
      </c>
    </row>
    <row r="382" spans="1:16">
      <c r="A382">
        <f t="shared" si="5"/>
        <v>59</v>
      </c>
      <c r="B382" t="s">
        <v>1474</v>
      </c>
      <c r="C382" t="s">
        <v>1475</v>
      </c>
      <c r="D382" t="s">
        <v>951</v>
      </c>
      <c r="E382" t="s">
        <v>942</v>
      </c>
      <c r="F382" t="s">
        <v>1474</v>
      </c>
      <c r="G382" t="s">
        <v>969</v>
      </c>
      <c r="H382" t="s">
        <v>13</v>
      </c>
      <c r="I382" t="s">
        <v>13</v>
      </c>
      <c r="J382" t="s">
        <v>396</v>
      </c>
      <c r="K382" s="30">
        <v>42955.723611111112</v>
      </c>
      <c r="L382" s="8">
        <v>44781.723611111112</v>
      </c>
      <c r="M382" s="21">
        <f>LEN(ProjTextTable[[#This Row],[text]])</f>
        <v>2118</v>
      </c>
      <c r="N382" s="21">
        <f>LEN(TRIM(CLEAN(SUBSTITUTE(ProjTextTable[[#This Row],[text]],CHAR(10)," "))))+1 - LEN(SUBSTITUTE(CLEAN(SUBSTITUTE(ProjTextTable[[#This Row],[text]],CHAR(10)," "))," ",""))</f>
        <v>307</v>
      </c>
      <c r="O382" t="s">
        <v>13</v>
      </c>
      <c r="P382" t="s">
        <v>1405</v>
      </c>
    </row>
    <row r="383" spans="1:16">
      <c r="A383">
        <f t="shared" si="5"/>
        <v>59</v>
      </c>
      <c r="B383" t="s">
        <v>1474</v>
      </c>
      <c r="C383" t="s">
        <v>1475</v>
      </c>
      <c r="D383" t="s">
        <v>194</v>
      </c>
      <c r="E383" t="s">
        <v>543</v>
      </c>
      <c r="F383" t="s">
        <v>959</v>
      </c>
      <c r="G383" t="s">
        <v>960</v>
      </c>
      <c r="H383" t="s">
        <v>961</v>
      </c>
      <c r="I383" t="s">
        <v>95</v>
      </c>
      <c r="J383" t="s">
        <v>176</v>
      </c>
      <c r="K383" s="30">
        <v>42878</v>
      </c>
      <c r="L383" s="8">
        <v>42878.432141203702</v>
      </c>
      <c r="M383" s="21">
        <f>LEN(ProjTextTable[[#This Row],[text]])</f>
        <v>1799</v>
      </c>
      <c r="N383" s="21">
        <f>LEN(TRIM(CLEAN(SUBSTITUTE(ProjTextTable[[#This Row],[text]],CHAR(10)," "))))+1 - LEN(SUBSTITUTE(CLEAN(SUBSTITUTE(ProjTextTable[[#This Row],[text]],CHAR(10)," "))," ",""))</f>
        <v>275</v>
      </c>
      <c r="O383" t="s">
        <v>195</v>
      </c>
      <c r="P383" t="s">
        <v>1476</v>
      </c>
    </row>
    <row r="384" spans="1:16">
      <c r="A384">
        <f t="shared" si="5"/>
        <v>59</v>
      </c>
      <c r="B384" t="s">
        <v>1474</v>
      </c>
      <c r="C384" t="s">
        <v>1475</v>
      </c>
      <c r="D384" t="s">
        <v>194</v>
      </c>
      <c r="E384" t="s">
        <v>543</v>
      </c>
      <c r="F384" t="s">
        <v>1014</v>
      </c>
      <c r="G384" t="s">
        <v>1015</v>
      </c>
      <c r="H384" t="s">
        <v>1016</v>
      </c>
      <c r="I384" t="s">
        <v>95</v>
      </c>
      <c r="J384" t="s">
        <v>176</v>
      </c>
      <c r="K384" s="30">
        <v>42878</v>
      </c>
      <c r="L384" s="8">
        <v>42878.492037037038</v>
      </c>
      <c r="M384" s="21">
        <f>LEN(ProjTextTable[[#This Row],[text]])</f>
        <v>2956</v>
      </c>
      <c r="N384" s="21">
        <f>LEN(TRIM(CLEAN(SUBSTITUTE(ProjTextTable[[#This Row],[text]],CHAR(10)," "))))+1 - LEN(SUBSTITUTE(CLEAN(SUBSTITUTE(ProjTextTable[[#This Row],[text]],CHAR(10)," "))," ",""))</f>
        <v>432</v>
      </c>
      <c r="O384" t="s">
        <v>209</v>
      </c>
      <c r="P384" t="s">
        <v>1477</v>
      </c>
    </row>
    <row r="385" spans="1:16">
      <c r="A385">
        <f t="shared" si="5"/>
        <v>59</v>
      </c>
      <c r="B385" t="s">
        <v>1474</v>
      </c>
      <c r="C385" t="s">
        <v>1475</v>
      </c>
      <c r="D385" t="s">
        <v>194</v>
      </c>
      <c r="E385" t="s">
        <v>543</v>
      </c>
      <c r="F385" t="s">
        <v>1018</v>
      </c>
      <c r="G385" t="s">
        <v>1019</v>
      </c>
      <c r="H385" t="s">
        <v>1020</v>
      </c>
      <c r="I385" t="s">
        <v>95</v>
      </c>
      <c r="J385" t="s">
        <v>176</v>
      </c>
      <c r="K385" s="30">
        <v>42878</v>
      </c>
      <c r="L385" s="8">
        <v>42877.613356481481</v>
      </c>
      <c r="M385" s="21">
        <f>LEN(ProjTextTable[[#This Row],[text]])</f>
        <v>1570</v>
      </c>
      <c r="N385" s="21">
        <f>LEN(TRIM(CLEAN(SUBSTITUTE(ProjTextTable[[#This Row],[text]],CHAR(10)," "))))+1 - LEN(SUBSTITUTE(CLEAN(SUBSTITUTE(ProjTextTable[[#This Row],[text]],CHAR(10)," "))," ",""))</f>
        <v>230</v>
      </c>
      <c r="O385" t="s">
        <v>195</v>
      </c>
      <c r="P385" t="s">
        <v>1478</v>
      </c>
    </row>
    <row r="386" spans="1:16">
      <c r="A386">
        <f t="shared" ref="A386:A449" si="6">A385+(B386&lt;&gt;B385)</f>
        <v>60</v>
      </c>
      <c r="B386" t="s">
        <v>1479</v>
      </c>
      <c r="C386" t="s">
        <v>1480</v>
      </c>
      <c r="D386" t="s">
        <v>205</v>
      </c>
      <c r="E386" t="s">
        <v>543</v>
      </c>
      <c r="F386" t="s">
        <v>919</v>
      </c>
      <c r="G386" t="s">
        <v>920</v>
      </c>
      <c r="H386" t="s">
        <v>921</v>
      </c>
      <c r="I386" t="s">
        <v>193</v>
      </c>
      <c r="J386" t="s">
        <v>922</v>
      </c>
      <c r="K386" s="30">
        <v>42871</v>
      </c>
      <c r="L386" s="8">
        <v>42916.815648148149</v>
      </c>
      <c r="M386" s="21">
        <f>LEN(ProjTextTable[[#This Row],[text]])</f>
        <v>3654</v>
      </c>
      <c r="N386" s="21">
        <f>LEN(TRIM(CLEAN(SUBSTITUTE(ProjTextTable[[#This Row],[text]],CHAR(10)," "))))+1 - LEN(SUBSTITUTE(CLEAN(SUBSTITUTE(ProjTextTable[[#This Row],[text]],CHAR(10)," "))," ",""))</f>
        <v>512</v>
      </c>
      <c r="O386" t="s">
        <v>923</v>
      </c>
      <c r="P386" t="s">
        <v>1481</v>
      </c>
    </row>
    <row r="387" spans="1:16">
      <c r="A387">
        <f t="shared" si="6"/>
        <v>60</v>
      </c>
      <c r="B387" t="s">
        <v>1479</v>
      </c>
      <c r="C387" t="s">
        <v>1480</v>
      </c>
      <c r="D387" t="s">
        <v>2</v>
      </c>
      <c r="E387" t="s">
        <v>543</v>
      </c>
      <c r="F387" t="s">
        <v>13</v>
      </c>
      <c r="G387" t="s">
        <v>925</v>
      </c>
      <c r="H387" t="s">
        <v>13</v>
      </c>
      <c r="I387" t="s">
        <v>13</v>
      </c>
      <c r="K387" s="30"/>
      <c r="L387" s="8">
        <v>42951.484560185185</v>
      </c>
      <c r="M387" s="21">
        <f>LEN(ProjTextTable[[#This Row],[text]])</f>
        <v>4592</v>
      </c>
      <c r="N387" s="21">
        <f>LEN(TRIM(CLEAN(SUBSTITUTE(ProjTextTable[[#This Row],[text]],CHAR(10)," "))))+1 - LEN(SUBSTITUTE(CLEAN(SUBSTITUTE(ProjTextTable[[#This Row],[text]],CHAR(10)," "))," ",""))</f>
        <v>679</v>
      </c>
      <c r="O387" t="s">
        <v>13</v>
      </c>
      <c r="P387" t="s">
        <v>926</v>
      </c>
    </row>
    <row r="388" spans="1:16">
      <c r="A388">
        <f t="shared" si="6"/>
        <v>60</v>
      </c>
      <c r="B388" t="s">
        <v>1479</v>
      </c>
      <c r="C388" t="s">
        <v>1480</v>
      </c>
      <c r="D388" t="s">
        <v>194</v>
      </c>
      <c r="E388" t="s">
        <v>543</v>
      </c>
      <c r="F388" t="s">
        <v>989</v>
      </c>
      <c r="G388" t="s">
        <v>990</v>
      </c>
      <c r="H388" t="s">
        <v>991</v>
      </c>
      <c r="I388" t="s">
        <v>95</v>
      </c>
      <c r="J388" t="s">
        <v>176</v>
      </c>
      <c r="K388" s="30">
        <v>42872</v>
      </c>
      <c r="L388" s="8">
        <v>42872.147013888891</v>
      </c>
      <c r="M388" s="21">
        <f>LEN(ProjTextTable[[#This Row],[text]])</f>
        <v>5043</v>
      </c>
      <c r="N388" s="21">
        <f>LEN(TRIM(CLEAN(SUBSTITUTE(ProjTextTable[[#This Row],[text]],CHAR(10)," "))))+1 - LEN(SUBSTITUTE(CLEAN(SUBSTITUTE(ProjTextTable[[#This Row],[text]],CHAR(10)," "))," ",""))</f>
        <v>819</v>
      </c>
      <c r="O388" t="s">
        <v>199</v>
      </c>
      <c r="P388" t="s">
        <v>1482</v>
      </c>
    </row>
    <row r="389" spans="1:16">
      <c r="A389">
        <f t="shared" si="6"/>
        <v>60</v>
      </c>
      <c r="B389" t="s">
        <v>1479</v>
      </c>
      <c r="C389" t="s">
        <v>1480</v>
      </c>
      <c r="D389" t="s">
        <v>194</v>
      </c>
      <c r="E389" t="s">
        <v>543</v>
      </c>
      <c r="F389" t="s">
        <v>1089</v>
      </c>
      <c r="G389" t="s">
        <v>1090</v>
      </c>
      <c r="H389" t="s">
        <v>1091</v>
      </c>
      <c r="I389" t="s">
        <v>95</v>
      </c>
      <c r="J389" t="s">
        <v>176</v>
      </c>
      <c r="K389" s="30">
        <v>42872</v>
      </c>
      <c r="L389" s="8">
        <v>42872.491770833331</v>
      </c>
      <c r="M389" s="21">
        <f>LEN(ProjTextTable[[#This Row],[text]])</f>
        <v>3670</v>
      </c>
      <c r="N389" s="21">
        <f>LEN(TRIM(CLEAN(SUBSTITUTE(ProjTextTable[[#This Row],[text]],CHAR(10)," "))))+1 - LEN(SUBSTITUTE(CLEAN(SUBSTITUTE(ProjTextTable[[#This Row],[text]],CHAR(10)," "))," ",""))</f>
        <v>582</v>
      </c>
      <c r="O389" t="s">
        <v>209</v>
      </c>
      <c r="P389" t="s">
        <v>1483</v>
      </c>
    </row>
    <row r="390" spans="1:16">
      <c r="A390">
        <f t="shared" si="6"/>
        <v>60</v>
      </c>
      <c r="B390" t="s">
        <v>1479</v>
      </c>
      <c r="C390" t="s">
        <v>1480</v>
      </c>
      <c r="D390" t="s">
        <v>194</v>
      </c>
      <c r="E390" t="s">
        <v>543</v>
      </c>
      <c r="F390" t="s">
        <v>993</v>
      </c>
      <c r="G390" t="s">
        <v>994</v>
      </c>
      <c r="H390" t="s">
        <v>995</v>
      </c>
      <c r="I390" t="s">
        <v>95</v>
      </c>
      <c r="J390" t="s">
        <v>176</v>
      </c>
      <c r="K390" s="30">
        <v>42872</v>
      </c>
      <c r="L390" s="8">
        <v>42863.930208333331</v>
      </c>
      <c r="M390" s="21">
        <f>LEN(ProjTextTable[[#This Row],[text]])</f>
        <v>3521</v>
      </c>
      <c r="N390" s="21">
        <f>LEN(TRIM(CLEAN(SUBSTITUTE(ProjTextTable[[#This Row],[text]],CHAR(10)," "))))+1 - LEN(SUBSTITUTE(CLEAN(SUBSTITUTE(ProjTextTable[[#This Row],[text]],CHAR(10)," "))," ",""))</f>
        <v>555</v>
      </c>
      <c r="O390" t="s">
        <v>199</v>
      </c>
      <c r="P390" t="s">
        <v>1484</v>
      </c>
    </row>
    <row r="391" spans="1:16">
      <c r="A391">
        <f t="shared" si="6"/>
        <v>61</v>
      </c>
      <c r="B391" t="s">
        <v>541</v>
      </c>
      <c r="C391" t="s">
        <v>542</v>
      </c>
      <c r="D391" t="s">
        <v>205</v>
      </c>
      <c r="E391" t="s">
        <v>543</v>
      </c>
      <c r="F391" t="s">
        <v>544</v>
      </c>
      <c r="G391" t="s">
        <v>545</v>
      </c>
      <c r="H391" t="s">
        <v>365</v>
      </c>
      <c r="I391" t="s">
        <v>200</v>
      </c>
      <c r="J391" t="s">
        <v>546</v>
      </c>
      <c r="K391" s="30">
        <v>43031</v>
      </c>
      <c r="L391" s="8"/>
      <c r="M391" s="21">
        <f>LEN(ProjTextTable[[#This Row],[text]])</f>
        <v>3392</v>
      </c>
      <c r="N391" s="21">
        <f>LEN(TRIM(CLEAN(SUBSTITUTE(ProjTextTable[[#This Row],[text]],CHAR(10)," "))))+1 - LEN(SUBSTITUTE(CLEAN(SUBSTITUTE(ProjTextTable[[#This Row],[text]],CHAR(10)," "))," ",""))</f>
        <v>513</v>
      </c>
      <c r="O391" t="s">
        <v>344</v>
      </c>
      <c r="P391" t="s">
        <v>547</v>
      </c>
    </row>
    <row r="392" spans="1:16">
      <c r="A392">
        <f t="shared" si="6"/>
        <v>61</v>
      </c>
      <c r="B392" t="s">
        <v>541</v>
      </c>
      <c r="C392" t="s">
        <v>542</v>
      </c>
      <c r="D392" t="s">
        <v>2</v>
      </c>
      <c r="E392" t="s">
        <v>540</v>
      </c>
      <c r="F392" t="s">
        <v>13</v>
      </c>
      <c r="G392" t="s">
        <v>925</v>
      </c>
      <c r="H392" t="s">
        <v>13</v>
      </c>
      <c r="I392" t="s">
        <v>13</v>
      </c>
      <c r="K392" s="30"/>
      <c r="L392" s="8">
        <v>43076.608981481484</v>
      </c>
      <c r="M392" s="21">
        <f>LEN(ProjTextTable[[#This Row],[text]])</f>
        <v>1932</v>
      </c>
      <c r="N392" s="21">
        <f>LEN(TRIM(CLEAN(SUBSTITUTE(ProjTextTable[[#This Row],[text]],CHAR(10)," "))))+1 - LEN(SUBSTITUTE(CLEAN(SUBSTITUTE(ProjTextTable[[#This Row],[text]],CHAR(10)," "))," ",""))</f>
        <v>283</v>
      </c>
      <c r="O392" t="s">
        <v>13</v>
      </c>
      <c r="P392" t="s">
        <v>1485</v>
      </c>
    </row>
    <row r="393" spans="1:16">
      <c r="A393">
        <f t="shared" si="6"/>
        <v>61</v>
      </c>
      <c r="B393" t="s">
        <v>541</v>
      </c>
      <c r="C393" t="s">
        <v>542</v>
      </c>
      <c r="D393" t="s">
        <v>194</v>
      </c>
      <c r="E393" t="s">
        <v>543</v>
      </c>
      <c r="F393" t="s">
        <v>548</v>
      </c>
      <c r="G393" t="s">
        <v>549</v>
      </c>
      <c r="H393" t="s">
        <v>550</v>
      </c>
      <c r="I393" t="s">
        <v>209</v>
      </c>
      <c r="J393" t="s">
        <v>176</v>
      </c>
      <c r="K393" s="30">
        <v>43032</v>
      </c>
      <c r="L393" s="8">
        <v>43031.583935185183</v>
      </c>
      <c r="M393" s="21">
        <f>LEN(ProjTextTable[[#This Row],[text]])</f>
        <v>3353</v>
      </c>
      <c r="N393" s="21">
        <f>LEN(TRIM(CLEAN(SUBSTITUTE(ProjTextTable[[#This Row],[text]],CHAR(10)," "))))+1 - LEN(SUBSTITUTE(CLEAN(SUBSTITUTE(ProjTextTable[[#This Row],[text]],CHAR(10)," "))," ",""))</f>
        <v>545</v>
      </c>
      <c r="O393" t="s">
        <v>212</v>
      </c>
      <c r="P393" t="s">
        <v>551</v>
      </c>
    </row>
    <row r="394" spans="1:16">
      <c r="A394">
        <f t="shared" si="6"/>
        <v>61</v>
      </c>
      <c r="B394" t="s">
        <v>541</v>
      </c>
      <c r="C394" t="s">
        <v>542</v>
      </c>
      <c r="D394" t="s">
        <v>194</v>
      </c>
      <c r="E394" t="s">
        <v>543</v>
      </c>
      <c r="F394" t="s">
        <v>552</v>
      </c>
      <c r="G394" t="s">
        <v>553</v>
      </c>
      <c r="H394" t="s">
        <v>554</v>
      </c>
      <c r="I394" t="s">
        <v>209</v>
      </c>
      <c r="J394" t="s">
        <v>176</v>
      </c>
      <c r="K394" s="30">
        <v>43032</v>
      </c>
      <c r="L394" s="8">
        <v>43031.52008101852</v>
      </c>
      <c r="M394" s="21">
        <f>LEN(ProjTextTable[[#This Row],[text]])</f>
        <v>1749</v>
      </c>
      <c r="N394" s="21">
        <f>LEN(TRIM(CLEAN(SUBSTITUTE(ProjTextTable[[#This Row],[text]],CHAR(10)," "))))+1 - LEN(SUBSTITUTE(CLEAN(SUBSTITUTE(ProjTextTable[[#This Row],[text]],CHAR(10)," "))," ",""))</f>
        <v>271</v>
      </c>
      <c r="O394" t="s">
        <v>201</v>
      </c>
      <c r="P394" t="s">
        <v>555</v>
      </c>
    </row>
    <row r="395" spans="1:16">
      <c r="A395">
        <f t="shared" si="6"/>
        <v>61</v>
      </c>
      <c r="B395" t="s">
        <v>541</v>
      </c>
      <c r="C395" t="s">
        <v>542</v>
      </c>
      <c r="D395" t="s">
        <v>194</v>
      </c>
      <c r="E395" t="s">
        <v>543</v>
      </c>
      <c r="F395" t="s">
        <v>556</v>
      </c>
      <c r="G395" t="s">
        <v>557</v>
      </c>
      <c r="H395" t="s">
        <v>558</v>
      </c>
      <c r="I395" t="s">
        <v>209</v>
      </c>
      <c r="J395" t="s">
        <v>176</v>
      </c>
      <c r="K395" s="30">
        <v>43032</v>
      </c>
      <c r="L395" s="8">
        <v>43026.508344907408</v>
      </c>
      <c r="M395" s="21">
        <f>LEN(ProjTextTable[[#This Row],[text]])</f>
        <v>3446</v>
      </c>
      <c r="N395" s="21">
        <f>LEN(TRIM(CLEAN(SUBSTITUTE(ProjTextTable[[#This Row],[text]],CHAR(10)," "))))+1 - LEN(SUBSTITUTE(CLEAN(SUBSTITUTE(ProjTextTable[[#This Row],[text]],CHAR(10)," "))," ",""))</f>
        <v>531</v>
      </c>
      <c r="O395" t="s">
        <v>199</v>
      </c>
      <c r="P395" t="s">
        <v>559</v>
      </c>
    </row>
    <row r="396" spans="1:16">
      <c r="A396">
        <f t="shared" si="6"/>
        <v>61</v>
      </c>
      <c r="B396" t="s">
        <v>541</v>
      </c>
      <c r="C396" t="s">
        <v>542</v>
      </c>
      <c r="D396" t="s">
        <v>194</v>
      </c>
      <c r="E396" t="s">
        <v>540</v>
      </c>
      <c r="F396" t="s">
        <v>560</v>
      </c>
      <c r="G396" t="s">
        <v>561</v>
      </c>
      <c r="H396" t="s">
        <v>562</v>
      </c>
      <c r="I396" t="s">
        <v>209</v>
      </c>
      <c r="J396" t="s">
        <v>176</v>
      </c>
      <c r="K396" s="30">
        <v>43032</v>
      </c>
      <c r="L396" s="8">
        <v>43018.840243055558</v>
      </c>
      <c r="M396" s="21">
        <f>LEN(ProjTextTable[[#This Row],[text]])</f>
        <v>2975</v>
      </c>
      <c r="N396" s="21">
        <f>LEN(TRIM(CLEAN(SUBSTITUTE(ProjTextTable[[#This Row],[text]],CHAR(10)," "))))+1 - LEN(SUBSTITUTE(CLEAN(SUBSTITUTE(ProjTextTable[[#This Row],[text]],CHAR(10)," "))," ",""))</f>
        <v>476</v>
      </c>
      <c r="O396" t="s">
        <v>201</v>
      </c>
      <c r="P396" t="s">
        <v>563</v>
      </c>
    </row>
    <row r="397" spans="1:16">
      <c r="A397">
        <f t="shared" si="6"/>
        <v>61</v>
      </c>
      <c r="B397" t="s">
        <v>541</v>
      </c>
      <c r="C397" t="s">
        <v>542</v>
      </c>
      <c r="D397" t="s">
        <v>196</v>
      </c>
      <c r="E397" t="s">
        <v>540</v>
      </c>
      <c r="F397" t="s">
        <v>13</v>
      </c>
      <c r="G397" t="s">
        <v>13</v>
      </c>
      <c r="H397" t="s">
        <v>13</v>
      </c>
      <c r="K397" s="30"/>
      <c r="L397" s="8">
        <v>42931.442777777775</v>
      </c>
      <c r="M397" s="21">
        <f>LEN(ProjTextTable[[#This Row],[text]])</f>
        <v>3950</v>
      </c>
      <c r="N397" s="21">
        <f>LEN(TRIM(CLEAN(SUBSTITUTE(ProjTextTable[[#This Row],[text]],CHAR(10)," "))))+1 - LEN(SUBSTITUTE(CLEAN(SUBSTITUTE(ProjTextTable[[#This Row],[text]],CHAR(10)," "))," ",""))</f>
        <v>602</v>
      </c>
      <c r="O397" t="s">
        <v>13</v>
      </c>
      <c r="P397" t="s">
        <v>564</v>
      </c>
    </row>
    <row r="398" spans="1:16">
      <c r="A398">
        <f t="shared" si="6"/>
        <v>62</v>
      </c>
      <c r="B398" t="s">
        <v>1486</v>
      </c>
      <c r="C398" t="s">
        <v>1065</v>
      </c>
      <c r="D398" t="s">
        <v>205</v>
      </c>
      <c r="E398" t="s">
        <v>543</v>
      </c>
      <c r="F398" t="s">
        <v>619</v>
      </c>
      <c r="G398" t="s">
        <v>620</v>
      </c>
      <c r="H398" t="s">
        <v>249</v>
      </c>
      <c r="I398" t="s">
        <v>193</v>
      </c>
      <c r="J398" t="s">
        <v>922</v>
      </c>
      <c r="K398" s="30">
        <v>43059</v>
      </c>
      <c r="L398" s="8">
        <v>43069.465729166666</v>
      </c>
      <c r="M398" s="21">
        <f>LEN(ProjTextTable[[#This Row],[text]])</f>
        <v>1704</v>
      </c>
      <c r="N398" s="21">
        <f>LEN(TRIM(CLEAN(SUBSTITUTE(ProjTextTable[[#This Row],[text]],CHAR(10)," "))))+1 - LEN(SUBSTITUTE(CLEAN(SUBSTITUTE(ProjTextTable[[#This Row],[text]],CHAR(10)," "))," ",""))</f>
        <v>241</v>
      </c>
      <c r="O398" t="s">
        <v>248</v>
      </c>
      <c r="P398" t="s">
        <v>1487</v>
      </c>
    </row>
    <row r="399" spans="1:16">
      <c r="A399">
        <f t="shared" si="6"/>
        <v>62</v>
      </c>
      <c r="B399" t="s">
        <v>1486</v>
      </c>
      <c r="C399" t="s">
        <v>1065</v>
      </c>
      <c r="D399" t="s">
        <v>205</v>
      </c>
      <c r="E399" t="s">
        <v>1488</v>
      </c>
      <c r="F399" t="s">
        <v>1489</v>
      </c>
      <c r="G399" t="s">
        <v>1490</v>
      </c>
      <c r="H399" t="s">
        <v>249</v>
      </c>
      <c r="I399" t="s">
        <v>193</v>
      </c>
      <c r="K399" s="30">
        <v>43034</v>
      </c>
      <c r="L399" s="8">
        <v>43068.642881944441</v>
      </c>
      <c r="M399" s="21">
        <f>LEN(ProjTextTable[[#This Row],[text]])</f>
        <v>2465</v>
      </c>
      <c r="N399" s="21">
        <f>LEN(TRIM(CLEAN(SUBSTITUTE(ProjTextTable[[#This Row],[text]],CHAR(10)," "))))+1 - LEN(SUBSTITUTE(CLEAN(SUBSTITUTE(ProjTextTable[[#This Row],[text]],CHAR(10)," "))," ",""))</f>
        <v>346</v>
      </c>
      <c r="O399" t="s">
        <v>248</v>
      </c>
      <c r="P399" t="s">
        <v>1491</v>
      </c>
    </row>
    <row r="400" spans="1:16">
      <c r="A400">
        <f t="shared" si="6"/>
        <v>62</v>
      </c>
      <c r="B400" t="s">
        <v>1486</v>
      </c>
      <c r="C400" t="s">
        <v>1065</v>
      </c>
      <c r="D400" t="s">
        <v>2</v>
      </c>
      <c r="E400" t="s">
        <v>1488</v>
      </c>
      <c r="F400" t="s">
        <v>13</v>
      </c>
      <c r="G400" t="s">
        <v>925</v>
      </c>
      <c r="H400" t="s">
        <v>13</v>
      </c>
      <c r="I400" t="s">
        <v>13</v>
      </c>
      <c r="K400" s="30"/>
      <c r="L400" s="8">
        <v>43068.644884259258</v>
      </c>
      <c r="M400" s="21">
        <f>LEN(ProjTextTable[[#This Row],[text]])</f>
        <v>4027</v>
      </c>
      <c r="N400" s="21">
        <f>LEN(TRIM(CLEAN(SUBSTITUTE(ProjTextTable[[#This Row],[text]],CHAR(10)," "))))+1 - LEN(SUBSTITUTE(CLEAN(SUBSTITUTE(ProjTextTable[[#This Row],[text]],CHAR(10)," "))," ",""))</f>
        <v>623</v>
      </c>
      <c r="O400" t="s">
        <v>13</v>
      </c>
      <c r="P400" t="s">
        <v>1492</v>
      </c>
    </row>
    <row r="401" spans="1:16">
      <c r="A401">
        <f t="shared" si="6"/>
        <v>62</v>
      </c>
      <c r="B401" t="s">
        <v>1486</v>
      </c>
      <c r="C401" t="s">
        <v>1065</v>
      </c>
      <c r="D401" t="s">
        <v>194</v>
      </c>
      <c r="E401" t="s">
        <v>1488</v>
      </c>
      <c r="F401" t="s">
        <v>1493</v>
      </c>
      <c r="G401" t="s">
        <v>1494</v>
      </c>
      <c r="H401" t="s">
        <v>1495</v>
      </c>
      <c r="I401" t="s">
        <v>176</v>
      </c>
      <c r="J401" t="s">
        <v>176</v>
      </c>
      <c r="K401" s="30">
        <v>43032</v>
      </c>
      <c r="L401" s="8">
        <v>43032.891342592593</v>
      </c>
      <c r="M401" s="21">
        <f>LEN(ProjTextTable[[#This Row],[text]])</f>
        <v>3596</v>
      </c>
      <c r="N401" s="21">
        <f>LEN(TRIM(CLEAN(SUBSTITUTE(ProjTextTable[[#This Row],[text]],CHAR(10)," "))))+1 - LEN(SUBSTITUTE(CLEAN(SUBSTITUTE(ProjTextTable[[#This Row],[text]],CHAR(10)," "))," ",""))</f>
        <v>563</v>
      </c>
      <c r="O401" t="s">
        <v>199</v>
      </c>
      <c r="P401" t="s">
        <v>1496</v>
      </c>
    </row>
    <row r="402" spans="1:16">
      <c r="A402">
        <f t="shared" si="6"/>
        <v>62</v>
      </c>
      <c r="B402" t="s">
        <v>1486</v>
      </c>
      <c r="C402" t="s">
        <v>1065</v>
      </c>
      <c r="D402" t="s">
        <v>194</v>
      </c>
      <c r="E402" t="s">
        <v>1488</v>
      </c>
      <c r="F402" t="s">
        <v>622</v>
      </c>
      <c r="G402" t="s">
        <v>623</v>
      </c>
      <c r="H402" t="s">
        <v>624</v>
      </c>
      <c r="I402" t="s">
        <v>209</v>
      </c>
      <c r="J402" t="s">
        <v>176</v>
      </c>
      <c r="K402" s="30">
        <v>43060</v>
      </c>
      <c r="L402" s="8">
        <v>43060.395636574074</v>
      </c>
      <c r="M402" s="21">
        <f>LEN(ProjTextTable[[#This Row],[text]])</f>
        <v>2035</v>
      </c>
      <c r="N402" s="21">
        <f>LEN(TRIM(CLEAN(SUBSTITUTE(ProjTextTable[[#This Row],[text]],CHAR(10)," "))))+1 - LEN(SUBSTITUTE(CLEAN(SUBSTITUTE(ProjTextTable[[#This Row],[text]],CHAR(10)," "))," ",""))</f>
        <v>286</v>
      </c>
      <c r="O402" t="s">
        <v>195</v>
      </c>
      <c r="P402" t="s">
        <v>1497</v>
      </c>
    </row>
    <row r="403" spans="1:16">
      <c r="A403">
        <f t="shared" si="6"/>
        <v>62</v>
      </c>
      <c r="B403" t="s">
        <v>1486</v>
      </c>
      <c r="C403" t="s">
        <v>1065</v>
      </c>
      <c r="D403" t="s">
        <v>194</v>
      </c>
      <c r="E403" t="s">
        <v>1488</v>
      </c>
      <c r="F403" t="s">
        <v>1498</v>
      </c>
      <c r="G403" t="s">
        <v>1499</v>
      </c>
      <c r="H403" t="s">
        <v>1500</v>
      </c>
      <c r="I403" t="s">
        <v>209</v>
      </c>
      <c r="J403" t="s">
        <v>176</v>
      </c>
      <c r="K403" s="30">
        <v>43035</v>
      </c>
      <c r="L403" s="8">
        <v>43033.33861111111</v>
      </c>
      <c r="M403" s="21">
        <f>LEN(ProjTextTable[[#This Row],[text]])</f>
        <v>2406</v>
      </c>
      <c r="N403" s="21">
        <f>LEN(TRIM(CLEAN(SUBSTITUTE(ProjTextTable[[#This Row],[text]],CHAR(10)," "))))+1 - LEN(SUBSTITUTE(CLEAN(SUBSTITUTE(ProjTextTable[[#This Row],[text]],CHAR(10)," "))," ",""))</f>
        <v>370</v>
      </c>
      <c r="O403" t="s">
        <v>198</v>
      </c>
      <c r="P403" t="s">
        <v>1501</v>
      </c>
    </row>
    <row r="404" spans="1:16">
      <c r="A404">
        <f t="shared" si="6"/>
        <v>62</v>
      </c>
      <c r="B404" t="s">
        <v>1486</v>
      </c>
      <c r="C404" t="s">
        <v>1065</v>
      </c>
      <c r="D404" t="s">
        <v>194</v>
      </c>
      <c r="E404" t="s">
        <v>1488</v>
      </c>
      <c r="F404" t="s">
        <v>630</v>
      </c>
      <c r="G404" t="s">
        <v>631</v>
      </c>
      <c r="H404" t="s">
        <v>632</v>
      </c>
      <c r="I404" t="s">
        <v>209</v>
      </c>
      <c r="J404" t="s">
        <v>176</v>
      </c>
      <c r="K404" s="30">
        <v>43060</v>
      </c>
      <c r="L404" s="8">
        <v>43054.481851851851</v>
      </c>
      <c r="M404" s="21">
        <f>LEN(ProjTextTable[[#This Row],[text]])</f>
        <v>2921</v>
      </c>
      <c r="N404" s="21">
        <f>LEN(TRIM(CLEAN(SUBSTITUTE(ProjTextTable[[#This Row],[text]],CHAR(10)," "))))+1 - LEN(SUBSTITUTE(CLEAN(SUBSTITUTE(ProjTextTable[[#This Row],[text]],CHAR(10)," "))," ",""))</f>
        <v>437</v>
      </c>
      <c r="O404" t="s">
        <v>195</v>
      </c>
      <c r="P404" t="s">
        <v>1502</v>
      </c>
    </row>
    <row r="405" spans="1:16">
      <c r="A405">
        <f t="shared" si="6"/>
        <v>62</v>
      </c>
      <c r="B405" t="s">
        <v>1486</v>
      </c>
      <c r="C405" t="s">
        <v>1065</v>
      </c>
      <c r="D405" t="s">
        <v>194</v>
      </c>
      <c r="E405" t="s">
        <v>1488</v>
      </c>
      <c r="F405" t="s">
        <v>1503</v>
      </c>
      <c r="G405" t="s">
        <v>1504</v>
      </c>
      <c r="H405" t="s">
        <v>1505</v>
      </c>
      <c r="I405" t="s">
        <v>209</v>
      </c>
      <c r="J405" t="s">
        <v>176</v>
      </c>
      <c r="K405" s="30">
        <v>43035</v>
      </c>
      <c r="L405" s="8">
        <v>43034.79310185185</v>
      </c>
      <c r="M405" s="21">
        <f>LEN(ProjTextTable[[#This Row],[text]])</f>
        <v>1855</v>
      </c>
      <c r="N405" s="21">
        <f>LEN(TRIM(CLEAN(SUBSTITUTE(ProjTextTable[[#This Row],[text]],CHAR(10)," "))))+1 - LEN(SUBSTITUTE(CLEAN(SUBSTITUTE(ProjTextTable[[#This Row],[text]],CHAR(10)," "))," ",""))</f>
        <v>275</v>
      </c>
      <c r="O405" t="s">
        <v>203</v>
      </c>
      <c r="P405" t="s">
        <v>1506</v>
      </c>
    </row>
    <row r="406" spans="1:16">
      <c r="A406">
        <f t="shared" si="6"/>
        <v>62</v>
      </c>
      <c r="B406" t="s">
        <v>1486</v>
      </c>
      <c r="C406" t="s">
        <v>1065</v>
      </c>
      <c r="D406" t="s">
        <v>194</v>
      </c>
      <c r="E406" t="s">
        <v>1488</v>
      </c>
      <c r="F406" t="s">
        <v>1507</v>
      </c>
      <c r="G406" t="s">
        <v>1508</v>
      </c>
      <c r="H406" t="s">
        <v>1509</v>
      </c>
      <c r="I406" t="s">
        <v>209</v>
      </c>
      <c r="J406" t="s">
        <v>176</v>
      </c>
      <c r="K406" s="30">
        <v>43011</v>
      </c>
      <c r="L406" s="8">
        <v>43059.329062500001</v>
      </c>
      <c r="M406" s="21">
        <f>LEN(ProjTextTable[[#This Row],[text]])</f>
        <v>2481</v>
      </c>
      <c r="N406" s="21">
        <f>LEN(TRIM(CLEAN(SUBSTITUTE(ProjTextTable[[#This Row],[text]],CHAR(10)," "))))+1 - LEN(SUBSTITUTE(CLEAN(SUBSTITUTE(ProjTextTable[[#This Row],[text]],CHAR(10)," "))," ",""))</f>
        <v>347</v>
      </c>
      <c r="O406" t="s">
        <v>202</v>
      </c>
      <c r="P406" t="s">
        <v>1510</v>
      </c>
    </row>
    <row r="407" spans="1:16">
      <c r="A407">
        <f t="shared" si="6"/>
        <v>62</v>
      </c>
      <c r="B407" t="s">
        <v>1486</v>
      </c>
      <c r="C407" t="s">
        <v>1065</v>
      </c>
      <c r="D407" t="s">
        <v>194</v>
      </c>
      <c r="E407" t="s">
        <v>1488</v>
      </c>
      <c r="F407" t="s">
        <v>1511</v>
      </c>
      <c r="G407" t="s">
        <v>1512</v>
      </c>
      <c r="H407" t="s">
        <v>1513</v>
      </c>
      <c r="I407" t="s">
        <v>209</v>
      </c>
      <c r="J407" t="s">
        <v>176</v>
      </c>
      <c r="K407" s="30">
        <v>43035</v>
      </c>
      <c r="L407" s="8">
        <v>43032.405798611115</v>
      </c>
      <c r="M407" s="21">
        <f>LEN(ProjTextTable[[#This Row],[text]])</f>
        <v>3911</v>
      </c>
      <c r="N407" s="21">
        <f>LEN(TRIM(CLEAN(SUBSTITUTE(ProjTextTable[[#This Row],[text]],CHAR(10)," "))))+1 - LEN(SUBSTITUTE(CLEAN(SUBSTITUTE(ProjTextTable[[#This Row],[text]],CHAR(10)," "))," ",""))</f>
        <v>621</v>
      </c>
      <c r="O407" t="s">
        <v>199</v>
      </c>
      <c r="P407" t="s">
        <v>1514</v>
      </c>
    </row>
    <row r="408" spans="1:16">
      <c r="A408">
        <f t="shared" si="6"/>
        <v>62</v>
      </c>
      <c r="B408" t="s">
        <v>1486</v>
      </c>
      <c r="C408" t="s">
        <v>1065</v>
      </c>
      <c r="D408" t="s">
        <v>194</v>
      </c>
      <c r="E408" t="s">
        <v>1488</v>
      </c>
      <c r="F408" t="s">
        <v>1515</v>
      </c>
      <c r="G408" t="s">
        <v>1516</v>
      </c>
      <c r="H408" t="s">
        <v>1517</v>
      </c>
      <c r="I408" t="s">
        <v>209</v>
      </c>
      <c r="J408" t="s">
        <v>176</v>
      </c>
      <c r="K408" s="30">
        <v>43011</v>
      </c>
      <c r="L408" s="8">
        <v>43058.874664351853</v>
      </c>
      <c r="M408" s="21">
        <f>LEN(ProjTextTable[[#This Row],[text]])</f>
        <v>1169</v>
      </c>
      <c r="N408" s="21">
        <f>LEN(TRIM(CLEAN(SUBSTITUTE(ProjTextTable[[#This Row],[text]],CHAR(10)," "))))+1 - LEN(SUBSTITUTE(CLEAN(SUBSTITUTE(ProjTextTable[[#This Row],[text]],CHAR(10)," "))," ",""))</f>
        <v>190</v>
      </c>
      <c r="O408" t="s">
        <v>176</v>
      </c>
      <c r="P408" t="s">
        <v>1518</v>
      </c>
    </row>
    <row r="409" spans="1:16">
      <c r="A409">
        <f t="shared" si="6"/>
        <v>62</v>
      </c>
      <c r="B409" t="s">
        <v>1486</v>
      </c>
      <c r="C409" t="s">
        <v>1065</v>
      </c>
      <c r="D409" t="s">
        <v>968</v>
      </c>
      <c r="E409" t="s">
        <v>1488</v>
      </c>
      <c r="F409" t="s">
        <v>1486</v>
      </c>
      <c r="G409" t="s">
        <v>1519</v>
      </c>
      <c r="H409" t="s">
        <v>1520</v>
      </c>
      <c r="K409" s="30"/>
      <c r="L409" s="8">
        <v>43069.468333333331</v>
      </c>
      <c r="M409" s="21">
        <f>LEN(ProjTextTable[[#This Row],[text]])</f>
        <v>146</v>
      </c>
      <c r="N409" s="21">
        <f>LEN(TRIM(CLEAN(SUBSTITUTE(ProjTextTable[[#This Row],[text]],CHAR(10)," "))))+1 - LEN(SUBSTITUTE(CLEAN(SUBSTITUTE(ProjTextTable[[#This Row],[text]],CHAR(10)," "))," ",""))</f>
        <v>28</v>
      </c>
      <c r="O409" t="s">
        <v>13</v>
      </c>
      <c r="P409" t="s">
        <v>1521</v>
      </c>
    </row>
    <row r="410" spans="1:16">
      <c r="A410">
        <f t="shared" si="6"/>
        <v>63</v>
      </c>
      <c r="B410" t="s">
        <v>565</v>
      </c>
      <c r="C410" t="s">
        <v>336</v>
      </c>
      <c r="D410" t="s">
        <v>205</v>
      </c>
      <c r="E410" t="s">
        <v>543</v>
      </c>
      <c r="F410" t="s">
        <v>544</v>
      </c>
      <c r="G410" t="s">
        <v>545</v>
      </c>
      <c r="H410" t="s">
        <v>249</v>
      </c>
      <c r="I410" t="s">
        <v>193</v>
      </c>
      <c r="J410" t="s">
        <v>566</v>
      </c>
      <c r="K410" s="30">
        <v>43031</v>
      </c>
      <c r="L410" s="8"/>
      <c r="M410" s="21">
        <f>LEN(ProjTextTable[[#This Row],[text]])</f>
        <v>4739</v>
      </c>
      <c r="N410" s="21">
        <f>LEN(TRIM(CLEAN(SUBSTITUTE(ProjTextTable[[#This Row],[text]],CHAR(10)," "))))+1 - LEN(SUBSTITUTE(CLEAN(SUBSTITUTE(ProjTextTable[[#This Row],[text]],CHAR(10)," "))," ",""))</f>
        <v>677</v>
      </c>
      <c r="O410" t="s">
        <v>248</v>
      </c>
      <c r="P410" t="s">
        <v>567</v>
      </c>
    </row>
    <row r="411" spans="1:16">
      <c r="A411">
        <f t="shared" si="6"/>
        <v>63</v>
      </c>
      <c r="B411" t="s">
        <v>565</v>
      </c>
      <c r="C411" t="s">
        <v>336</v>
      </c>
      <c r="D411" t="s">
        <v>194</v>
      </c>
      <c r="E411" t="s">
        <v>543</v>
      </c>
      <c r="F411" t="s">
        <v>568</v>
      </c>
      <c r="G411" t="s">
        <v>569</v>
      </c>
      <c r="H411" t="s">
        <v>570</v>
      </c>
      <c r="I411" t="s">
        <v>209</v>
      </c>
      <c r="J411" t="s">
        <v>176</v>
      </c>
      <c r="K411" s="30">
        <v>43032</v>
      </c>
      <c r="L411" s="8">
        <v>43029.002870370372</v>
      </c>
      <c r="M411" s="21">
        <f>LEN(ProjTextTable[[#This Row],[text]])</f>
        <v>3294</v>
      </c>
      <c r="N411" s="21">
        <f>LEN(TRIM(CLEAN(SUBSTITUTE(ProjTextTable[[#This Row],[text]],CHAR(10)," "))))+1 - LEN(SUBSTITUTE(CLEAN(SUBSTITUTE(ProjTextTable[[#This Row],[text]],CHAR(10)," "))," ",""))</f>
        <v>495</v>
      </c>
      <c r="O411" t="s">
        <v>195</v>
      </c>
      <c r="P411" t="s">
        <v>571</v>
      </c>
    </row>
    <row r="412" spans="1:16">
      <c r="A412">
        <f t="shared" si="6"/>
        <v>63</v>
      </c>
      <c r="B412" t="s">
        <v>565</v>
      </c>
      <c r="C412" t="s">
        <v>336</v>
      </c>
      <c r="D412" t="s">
        <v>194</v>
      </c>
      <c r="E412" t="s">
        <v>540</v>
      </c>
      <c r="F412" t="s">
        <v>572</v>
      </c>
      <c r="G412" t="s">
        <v>573</v>
      </c>
      <c r="H412" t="s">
        <v>574</v>
      </c>
      <c r="I412" t="s">
        <v>209</v>
      </c>
      <c r="J412" t="s">
        <v>176</v>
      </c>
      <c r="K412" s="30">
        <v>43032</v>
      </c>
      <c r="L412" s="8">
        <v>43030.179826388892</v>
      </c>
      <c r="M412" s="21">
        <f>LEN(ProjTextTable[[#This Row],[text]])</f>
        <v>2298</v>
      </c>
      <c r="N412" s="21">
        <f>LEN(TRIM(CLEAN(SUBSTITUTE(ProjTextTable[[#This Row],[text]],CHAR(10)," "))))+1 - LEN(SUBSTITUTE(CLEAN(SUBSTITUTE(ProjTextTable[[#This Row],[text]],CHAR(10)," "))," ",""))</f>
        <v>339</v>
      </c>
      <c r="O412" t="s">
        <v>199</v>
      </c>
      <c r="P412" t="s">
        <v>575</v>
      </c>
    </row>
    <row r="413" spans="1:16">
      <c r="A413">
        <f t="shared" si="6"/>
        <v>63</v>
      </c>
      <c r="B413" t="s">
        <v>565</v>
      </c>
      <c r="C413" t="s">
        <v>336</v>
      </c>
      <c r="D413" t="s">
        <v>194</v>
      </c>
      <c r="E413" t="s">
        <v>543</v>
      </c>
      <c r="F413" t="s">
        <v>576</v>
      </c>
      <c r="G413" t="s">
        <v>577</v>
      </c>
      <c r="H413" t="s">
        <v>578</v>
      </c>
      <c r="I413" t="s">
        <v>209</v>
      </c>
      <c r="J413" t="s">
        <v>176</v>
      </c>
      <c r="K413" s="30">
        <v>43032</v>
      </c>
      <c r="L413" s="8">
        <v>43028.861863425926</v>
      </c>
      <c r="M413" s="21">
        <f>LEN(ProjTextTable[[#This Row],[text]])</f>
        <v>2774</v>
      </c>
      <c r="N413" s="21">
        <f>LEN(TRIM(CLEAN(SUBSTITUTE(ProjTextTable[[#This Row],[text]],CHAR(10)," "))))+1 - LEN(SUBSTITUTE(CLEAN(SUBSTITUTE(ProjTextTable[[#This Row],[text]],CHAR(10)," "))," ",""))</f>
        <v>392</v>
      </c>
      <c r="O413" t="s">
        <v>251</v>
      </c>
      <c r="P413" t="s">
        <v>579</v>
      </c>
    </row>
    <row r="414" spans="1:16">
      <c r="A414">
        <f t="shared" si="6"/>
        <v>63</v>
      </c>
      <c r="B414" t="s">
        <v>565</v>
      </c>
      <c r="C414" t="s">
        <v>336</v>
      </c>
      <c r="D414" t="s">
        <v>194</v>
      </c>
      <c r="E414" t="s">
        <v>543</v>
      </c>
      <c r="F414" t="s">
        <v>580</v>
      </c>
      <c r="G414" t="s">
        <v>581</v>
      </c>
      <c r="H414" t="s">
        <v>582</v>
      </c>
      <c r="I414" t="s">
        <v>209</v>
      </c>
      <c r="J414" t="s">
        <v>176</v>
      </c>
      <c r="K414" s="30">
        <v>43032</v>
      </c>
      <c r="L414" s="8">
        <v>43029.985185185185</v>
      </c>
      <c r="M414" s="21">
        <f>LEN(ProjTextTable[[#This Row],[text]])</f>
        <v>3648</v>
      </c>
      <c r="N414" s="21">
        <f>LEN(TRIM(CLEAN(SUBSTITUTE(ProjTextTable[[#This Row],[text]],CHAR(10)," "))))+1 - LEN(SUBSTITUTE(CLEAN(SUBSTITUTE(ProjTextTable[[#This Row],[text]],CHAR(10)," "))," ",""))</f>
        <v>547</v>
      </c>
      <c r="O414" t="s">
        <v>203</v>
      </c>
      <c r="P414" t="s">
        <v>583</v>
      </c>
    </row>
    <row r="415" spans="1:16">
      <c r="A415">
        <f t="shared" si="6"/>
        <v>63</v>
      </c>
      <c r="B415" t="s">
        <v>565</v>
      </c>
      <c r="C415" t="s">
        <v>336</v>
      </c>
      <c r="D415" t="s">
        <v>196</v>
      </c>
      <c r="E415" t="s">
        <v>540</v>
      </c>
      <c r="F415" t="s">
        <v>13</v>
      </c>
      <c r="G415" t="s">
        <v>13</v>
      </c>
      <c r="H415" t="s">
        <v>13</v>
      </c>
      <c r="K415" s="30"/>
      <c r="L415" s="8">
        <v>42934.042766203704</v>
      </c>
      <c r="M415" s="21">
        <f>LEN(ProjTextTable[[#This Row],[text]])</f>
        <v>3482</v>
      </c>
      <c r="N415" s="21">
        <f>LEN(TRIM(CLEAN(SUBSTITUTE(ProjTextTable[[#This Row],[text]],CHAR(10)," "))))+1 - LEN(SUBSTITUTE(CLEAN(SUBSTITUTE(ProjTextTable[[#This Row],[text]],CHAR(10)," "))," ",""))</f>
        <v>489</v>
      </c>
      <c r="O415" t="s">
        <v>13</v>
      </c>
      <c r="P415" t="s">
        <v>584</v>
      </c>
    </row>
    <row r="416" spans="1:16">
      <c r="A416">
        <f t="shared" si="6"/>
        <v>64</v>
      </c>
      <c r="B416" t="s">
        <v>1522</v>
      </c>
      <c r="C416" t="s">
        <v>1523</v>
      </c>
      <c r="D416" t="s">
        <v>205</v>
      </c>
      <c r="E416" t="s">
        <v>543</v>
      </c>
      <c r="F416" t="s">
        <v>544</v>
      </c>
      <c r="G416" t="s">
        <v>545</v>
      </c>
      <c r="H416" t="s">
        <v>249</v>
      </c>
      <c r="I416" t="s">
        <v>193</v>
      </c>
      <c r="J416" t="s">
        <v>566</v>
      </c>
      <c r="K416" s="30">
        <v>43031</v>
      </c>
      <c r="L416" s="8"/>
      <c r="M416" s="21">
        <f>LEN(ProjTextTable[[#This Row],[text]])</f>
        <v>4890</v>
      </c>
      <c r="N416" s="21">
        <f>LEN(TRIM(CLEAN(SUBSTITUTE(ProjTextTable[[#This Row],[text]],CHAR(10)," "))))+1 - LEN(SUBSTITUTE(CLEAN(SUBSTITUTE(ProjTextTable[[#This Row],[text]],CHAR(10)," "))," ",""))</f>
        <v>733</v>
      </c>
      <c r="O416" t="s">
        <v>248</v>
      </c>
      <c r="P416" t="s">
        <v>1524</v>
      </c>
    </row>
    <row r="417" spans="1:16">
      <c r="A417">
        <f t="shared" si="6"/>
        <v>64</v>
      </c>
      <c r="B417" t="s">
        <v>1522</v>
      </c>
      <c r="C417" t="s">
        <v>1523</v>
      </c>
      <c r="D417" t="s">
        <v>194</v>
      </c>
      <c r="E417" t="s">
        <v>543</v>
      </c>
      <c r="F417" t="s">
        <v>552</v>
      </c>
      <c r="G417" t="s">
        <v>553</v>
      </c>
      <c r="H417" t="s">
        <v>554</v>
      </c>
      <c r="I417" t="s">
        <v>209</v>
      </c>
      <c r="J417" t="s">
        <v>176</v>
      </c>
      <c r="K417" s="30">
        <v>43032</v>
      </c>
      <c r="L417" s="8">
        <v>43032.397743055553</v>
      </c>
      <c r="M417" s="21">
        <f>LEN(ProjTextTable[[#This Row],[text]])</f>
        <v>3674</v>
      </c>
      <c r="N417" s="21">
        <f>LEN(TRIM(CLEAN(SUBSTITUTE(ProjTextTable[[#This Row],[text]],CHAR(10)," "))))+1 - LEN(SUBSTITUTE(CLEAN(SUBSTITUTE(ProjTextTable[[#This Row],[text]],CHAR(10)," "))," ",""))</f>
        <v>555</v>
      </c>
      <c r="O417" t="s">
        <v>195</v>
      </c>
      <c r="P417" t="s">
        <v>1525</v>
      </c>
    </row>
    <row r="418" spans="1:16">
      <c r="A418">
        <f t="shared" si="6"/>
        <v>64</v>
      </c>
      <c r="B418" t="s">
        <v>1522</v>
      </c>
      <c r="C418" t="s">
        <v>1523</v>
      </c>
      <c r="D418" t="s">
        <v>194</v>
      </c>
      <c r="E418" t="s">
        <v>543</v>
      </c>
      <c r="F418" t="s">
        <v>556</v>
      </c>
      <c r="G418" t="s">
        <v>557</v>
      </c>
      <c r="H418" t="s">
        <v>558</v>
      </c>
      <c r="I418" t="s">
        <v>209</v>
      </c>
      <c r="J418" t="s">
        <v>176</v>
      </c>
      <c r="K418" s="30">
        <v>43032</v>
      </c>
      <c r="L418" s="8">
        <v>43026.400833333333</v>
      </c>
      <c r="M418" s="21">
        <f>LEN(ProjTextTable[[#This Row],[text]])</f>
        <v>2867</v>
      </c>
      <c r="N418" s="21">
        <f>LEN(TRIM(CLEAN(SUBSTITUTE(ProjTextTable[[#This Row],[text]],CHAR(10)," "))))+1 - LEN(SUBSTITUTE(CLEAN(SUBSTITUTE(ProjTextTable[[#This Row],[text]],CHAR(10)," "))," ",""))</f>
        <v>428</v>
      </c>
      <c r="O418" t="s">
        <v>198</v>
      </c>
      <c r="P418" t="s">
        <v>1526</v>
      </c>
    </row>
    <row r="419" spans="1:16">
      <c r="A419">
        <f t="shared" si="6"/>
        <v>64</v>
      </c>
      <c r="B419" t="s">
        <v>1522</v>
      </c>
      <c r="C419" t="s">
        <v>1523</v>
      </c>
      <c r="D419" t="s">
        <v>194</v>
      </c>
      <c r="E419" t="s">
        <v>543</v>
      </c>
      <c r="F419" t="s">
        <v>729</v>
      </c>
      <c r="G419" t="s">
        <v>730</v>
      </c>
      <c r="H419" t="s">
        <v>731</v>
      </c>
      <c r="I419" t="s">
        <v>209</v>
      </c>
      <c r="J419" t="s">
        <v>176</v>
      </c>
      <c r="K419" s="30">
        <v>43032</v>
      </c>
      <c r="L419" s="8">
        <v>43032.510775462964</v>
      </c>
      <c r="M419" s="21">
        <f>LEN(ProjTextTable[[#This Row],[text]])</f>
        <v>6678</v>
      </c>
      <c r="N419" s="21">
        <f>LEN(TRIM(CLEAN(SUBSTITUTE(ProjTextTable[[#This Row],[text]],CHAR(10)," "))))+1 - LEN(SUBSTITUTE(CLEAN(SUBSTITUTE(ProjTextTable[[#This Row],[text]],CHAR(10)," "))," ",""))</f>
        <v>1128</v>
      </c>
      <c r="O419" t="s">
        <v>199</v>
      </c>
      <c r="P419" t="s">
        <v>1527</v>
      </c>
    </row>
    <row r="420" spans="1:16">
      <c r="A420">
        <f t="shared" si="6"/>
        <v>64</v>
      </c>
      <c r="B420" t="s">
        <v>1522</v>
      </c>
      <c r="C420" t="s">
        <v>1523</v>
      </c>
      <c r="D420" t="s">
        <v>194</v>
      </c>
      <c r="E420" t="s">
        <v>543</v>
      </c>
      <c r="F420" t="s">
        <v>580</v>
      </c>
      <c r="G420" t="s">
        <v>581</v>
      </c>
      <c r="H420" t="s">
        <v>582</v>
      </c>
      <c r="I420" t="s">
        <v>209</v>
      </c>
      <c r="J420" t="s">
        <v>176</v>
      </c>
      <c r="K420" s="30">
        <v>43032</v>
      </c>
      <c r="L420" s="8">
        <v>43030.016840277778</v>
      </c>
      <c r="M420" s="21">
        <f>LEN(ProjTextTable[[#This Row],[text]])</f>
        <v>2387</v>
      </c>
      <c r="N420" s="21">
        <f>LEN(TRIM(CLEAN(SUBSTITUTE(ProjTextTable[[#This Row],[text]],CHAR(10)," "))))+1 - LEN(SUBSTITUTE(CLEAN(SUBSTITUTE(ProjTextTable[[#This Row],[text]],CHAR(10)," "))," ",""))</f>
        <v>347</v>
      </c>
      <c r="O420" t="s">
        <v>251</v>
      </c>
      <c r="P420" t="s">
        <v>1528</v>
      </c>
    </row>
    <row r="421" spans="1:16">
      <c r="A421">
        <f t="shared" si="6"/>
        <v>64</v>
      </c>
      <c r="B421" t="s">
        <v>1522</v>
      </c>
      <c r="C421" t="s">
        <v>1523</v>
      </c>
      <c r="D421" t="s">
        <v>194</v>
      </c>
      <c r="E421" t="s">
        <v>543</v>
      </c>
      <c r="F421" t="s">
        <v>591</v>
      </c>
      <c r="G421" t="s">
        <v>592</v>
      </c>
      <c r="H421" t="s">
        <v>593</v>
      </c>
      <c r="I421" t="s">
        <v>209</v>
      </c>
      <c r="J421" t="s">
        <v>176</v>
      </c>
      <c r="K421" s="30">
        <v>43032</v>
      </c>
      <c r="L421" s="8">
        <v>43028.956053240741</v>
      </c>
      <c r="M421" s="21">
        <f>LEN(ProjTextTable[[#This Row],[text]])</f>
        <v>1695</v>
      </c>
      <c r="N421" s="21">
        <f>LEN(TRIM(CLEAN(SUBSTITUTE(ProjTextTable[[#This Row],[text]],CHAR(10)," "))))+1 - LEN(SUBSTITUTE(CLEAN(SUBSTITUTE(ProjTextTable[[#This Row],[text]],CHAR(10)," "))," ",""))</f>
        <v>264</v>
      </c>
      <c r="O421" t="s">
        <v>195</v>
      </c>
      <c r="P421" t="s">
        <v>1529</v>
      </c>
    </row>
    <row r="422" spans="1:16">
      <c r="A422">
        <f t="shared" si="6"/>
        <v>64</v>
      </c>
      <c r="B422" t="s">
        <v>1522</v>
      </c>
      <c r="C422" t="s">
        <v>1523</v>
      </c>
      <c r="D422" t="s">
        <v>196</v>
      </c>
      <c r="E422" t="s">
        <v>1530</v>
      </c>
      <c r="F422" t="s">
        <v>13</v>
      </c>
      <c r="G422" t="s">
        <v>13</v>
      </c>
      <c r="H422" t="s">
        <v>13</v>
      </c>
      <c r="K422" s="30"/>
      <c r="L422" s="8">
        <v>42934.04283564815</v>
      </c>
      <c r="M422" s="21">
        <f>LEN(ProjTextTable[[#This Row],[text]])</f>
        <v>3485</v>
      </c>
      <c r="N422" s="21">
        <f>LEN(TRIM(CLEAN(SUBSTITUTE(ProjTextTable[[#This Row],[text]],CHAR(10)," "))))+1 - LEN(SUBSTITUTE(CLEAN(SUBSTITUTE(ProjTextTable[[#This Row],[text]],CHAR(10)," "))," ",""))</f>
        <v>473</v>
      </c>
      <c r="O422" t="s">
        <v>13</v>
      </c>
      <c r="P422" t="s">
        <v>1531</v>
      </c>
    </row>
    <row r="423" spans="1:16">
      <c r="A423">
        <f t="shared" si="6"/>
        <v>65</v>
      </c>
      <c r="B423" t="s">
        <v>585</v>
      </c>
      <c r="C423" t="s">
        <v>586</v>
      </c>
      <c r="D423" t="s">
        <v>205</v>
      </c>
      <c r="E423" t="s">
        <v>543</v>
      </c>
      <c r="F423" t="s">
        <v>544</v>
      </c>
      <c r="G423" t="s">
        <v>545</v>
      </c>
      <c r="H423" t="s">
        <v>207</v>
      </c>
      <c r="I423" t="s">
        <v>197</v>
      </c>
      <c r="J423" t="s">
        <v>193</v>
      </c>
      <c r="K423" s="30">
        <v>43031</v>
      </c>
      <c r="L423" s="8"/>
      <c r="M423" s="21">
        <f>LEN(ProjTextTable[[#This Row],[text]])</f>
        <v>4547</v>
      </c>
      <c r="N423" s="21">
        <f>LEN(TRIM(CLEAN(SUBSTITUTE(ProjTextTable[[#This Row],[text]],CHAR(10)," "))))+1 - LEN(SUBSTITUTE(CLEAN(SUBSTITUTE(ProjTextTable[[#This Row],[text]],CHAR(10)," "))," ",""))</f>
        <v>673</v>
      </c>
      <c r="O423" t="s">
        <v>208</v>
      </c>
      <c r="P423" t="s">
        <v>587</v>
      </c>
    </row>
    <row r="424" spans="1:16">
      <c r="A424">
        <f t="shared" si="6"/>
        <v>65</v>
      </c>
      <c r="B424" t="s">
        <v>585</v>
      </c>
      <c r="C424" t="s">
        <v>586</v>
      </c>
      <c r="D424" t="s">
        <v>194</v>
      </c>
      <c r="E424" t="s">
        <v>543</v>
      </c>
      <c r="F424" t="s">
        <v>548</v>
      </c>
      <c r="G424" t="s">
        <v>549</v>
      </c>
      <c r="H424" t="s">
        <v>550</v>
      </c>
      <c r="I424" t="s">
        <v>209</v>
      </c>
      <c r="J424" t="s">
        <v>176</v>
      </c>
      <c r="K424" s="30">
        <v>43032</v>
      </c>
      <c r="L424" s="8">
        <v>43031.584305555552</v>
      </c>
      <c r="M424" s="21">
        <f>LEN(ProjTextTable[[#This Row],[text]])</f>
        <v>2413</v>
      </c>
      <c r="N424" s="21">
        <f>LEN(TRIM(CLEAN(SUBSTITUTE(ProjTextTable[[#This Row],[text]],CHAR(10)," "))))+1 - LEN(SUBSTITUTE(CLEAN(SUBSTITUTE(ProjTextTable[[#This Row],[text]],CHAR(10)," "))," ",""))</f>
        <v>378</v>
      </c>
      <c r="O424" t="s">
        <v>198</v>
      </c>
      <c r="P424" t="s">
        <v>588</v>
      </c>
    </row>
    <row r="425" spans="1:16">
      <c r="A425">
        <f t="shared" si="6"/>
        <v>65</v>
      </c>
      <c r="B425" t="s">
        <v>585</v>
      </c>
      <c r="C425" t="s">
        <v>586</v>
      </c>
      <c r="D425" t="s">
        <v>194</v>
      </c>
      <c r="E425" t="s">
        <v>543</v>
      </c>
      <c r="F425" t="s">
        <v>552</v>
      </c>
      <c r="G425" t="s">
        <v>553</v>
      </c>
      <c r="H425" t="s">
        <v>554</v>
      </c>
      <c r="I425" t="s">
        <v>209</v>
      </c>
      <c r="J425" t="s">
        <v>176</v>
      </c>
      <c r="K425" s="30">
        <v>43032</v>
      </c>
      <c r="L425" s="8">
        <v>43031.433321759258</v>
      </c>
      <c r="M425" s="21">
        <f>LEN(ProjTextTable[[#This Row],[text]])</f>
        <v>2325</v>
      </c>
      <c r="N425" s="21">
        <f>LEN(TRIM(CLEAN(SUBSTITUTE(ProjTextTable[[#This Row],[text]],CHAR(10)," "))))+1 - LEN(SUBSTITUTE(CLEAN(SUBSTITUTE(ProjTextTable[[#This Row],[text]],CHAR(10)," "))," ",""))</f>
        <v>359</v>
      </c>
      <c r="O425" t="s">
        <v>202</v>
      </c>
      <c r="P425" t="s">
        <v>589</v>
      </c>
    </row>
    <row r="426" spans="1:16">
      <c r="A426">
        <f t="shared" si="6"/>
        <v>65</v>
      </c>
      <c r="B426" t="s">
        <v>585</v>
      </c>
      <c r="C426" t="s">
        <v>586</v>
      </c>
      <c r="D426" t="s">
        <v>194</v>
      </c>
      <c r="E426" t="s">
        <v>540</v>
      </c>
      <c r="F426" t="s">
        <v>560</v>
      </c>
      <c r="G426" t="s">
        <v>561</v>
      </c>
      <c r="H426" t="s">
        <v>562</v>
      </c>
      <c r="I426" t="s">
        <v>209</v>
      </c>
      <c r="J426" t="s">
        <v>176</v>
      </c>
      <c r="K426" s="30">
        <v>43032</v>
      </c>
      <c r="L426" s="8">
        <v>43018.886724537035</v>
      </c>
      <c r="M426" s="21">
        <f>LEN(ProjTextTable[[#This Row],[text]])</f>
        <v>1961</v>
      </c>
      <c r="N426" s="21">
        <f>LEN(TRIM(CLEAN(SUBSTITUTE(ProjTextTable[[#This Row],[text]],CHAR(10)," "))))+1 - LEN(SUBSTITUTE(CLEAN(SUBSTITUTE(ProjTextTable[[#This Row],[text]],CHAR(10)," "))," ",""))</f>
        <v>296</v>
      </c>
      <c r="O426" t="s">
        <v>199</v>
      </c>
      <c r="P426" t="s">
        <v>590</v>
      </c>
    </row>
    <row r="427" spans="1:16">
      <c r="A427">
        <f t="shared" si="6"/>
        <v>65</v>
      </c>
      <c r="B427" t="s">
        <v>585</v>
      </c>
      <c r="C427" t="s">
        <v>586</v>
      </c>
      <c r="D427" t="s">
        <v>194</v>
      </c>
      <c r="E427" t="s">
        <v>543</v>
      </c>
      <c r="F427" t="s">
        <v>591</v>
      </c>
      <c r="G427" t="s">
        <v>592</v>
      </c>
      <c r="H427" t="s">
        <v>593</v>
      </c>
      <c r="I427" t="s">
        <v>209</v>
      </c>
      <c r="J427" t="s">
        <v>176</v>
      </c>
      <c r="K427" s="30">
        <v>43032</v>
      </c>
      <c r="L427" s="8">
        <v>43029.019606481481</v>
      </c>
      <c r="M427" s="21">
        <f>LEN(ProjTextTable[[#This Row],[text]])</f>
        <v>1910</v>
      </c>
      <c r="N427" s="21">
        <f>LEN(TRIM(CLEAN(SUBSTITUTE(ProjTextTable[[#This Row],[text]],CHAR(10)," "))))+1 - LEN(SUBSTITUTE(CLEAN(SUBSTITUTE(ProjTextTable[[#This Row],[text]],CHAR(10)," "))," ",""))</f>
        <v>279</v>
      </c>
      <c r="O427" t="s">
        <v>199</v>
      </c>
      <c r="P427" t="s">
        <v>594</v>
      </c>
    </row>
    <row r="428" spans="1:16">
      <c r="A428">
        <f t="shared" si="6"/>
        <v>65</v>
      </c>
      <c r="B428" t="s">
        <v>585</v>
      </c>
      <c r="C428" t="s">
        <v>586</v>
      </c>
      <c r="D428" t="s">
        <v>196</v>
      </c>
      <c r="E428" t="s">
        <v>540</v>
      </c>
      <c r="F428" t="s">
        <v>13</v>
      </c>
      <c r="G428" t="s">
        <v>13</v>
      </c>
      <c r="H428" t="s">
        <v>13</v>
      </c>
      <c r="K428" s="30"/>
      <c r="L428" s="8">
        <v>42934.043171296296</v>
      </c>
      <c r="M428" s="21">
        <f>LEN(ProjTextTable[[#This Row],[text]])</f>
        <v>4358</v>
      </c>
      <c r="N428" s="21">
        <f>LEN(TRIM(CLEAN(SUBSTITUTE(ProjTextTable[[#This Row],[text]],CHAR(10)," "))))+1 - LEN(SUBSTITUTE(CLEAN(SUBSTITUTE(ProjTextTable[[#This Row],[text]],CHAR(10)," "))," ",""))</f>
        <v>666</v>
      </c>
      <c r="O428" t="s">
        <v>13</v>
      </c>
      <c r="P428" t="s">
        <v>595</v>
      </c>
    </row>
    <row r="429" spans="1:16">
      <c r="A429">
        <f t="shared" si="6"/>
        <v>66</v>
      </c>
      <c r="B429" t="s">
        <v>596</v>
      </c>
      <c r="C429" t="s">
        <v>337</v>
      </c>
      <c r="D429" t="s">
        <v>205</v>
      </c>
      <c r="E429" t="s">
        <v>543</v>
      </c>
      <c r="F429" t="s">
        <v>544</v>
      </c>
      <c r="G429" t="s">
        <v>545</v>
      </c>
      <c r="H429" t="s">
        <v>245</v>
      </c>
      <c r="I429" t="s">
        <v>95</v>
      </c>
      <c r="J429" t="s">
        <v>95</v>
      </c>
      <c r="K429" s="30">
        <v>43031</v>
      </c>
      <c r="L429" s="8"/>
      <c r="M429" s="21">
        <f>LEN(ProjTextTable[[#This Row],[text]])</f>
        <v>3611</v>
      </c>
      <c r="N429" s="21">
        <f>LEN(TRIM(CLEAN(SUBSTITUTE(ProjTextTable[[#This Row],[text]],CHAR(10)," "))))+1 - LEN(SUBSTITUTE(CLEAN(SUBSTITUTE(ProjTextTable[[#This Row],[text]],CHAR(10)," "))," ",""))</f>
        <v>527</v>
      </c>
      <c r="O429" t="s">
        <v>243</v>
      </c>
      <c r="P429" t="s">
        <v>597</v>
      </c>
    </row>
    <row r="430" spans="1:16">
      <c r="A430">
        <f t="shared" si="6"/>
        <v>66</v>
      </c>
      <c r="B430" t="s">
        <v>596</v>
      </c>
      <c r="C430" t="s">
        <v>337</v>
      </c>
      <c r="D430" t="s">
        <v>194</v>
      </c>
      <c r="E430" t="s">
        <v>543</v>
      </c>
      <c r="F430" t="s">
        <v>576</v>
      </c>
      <c r="G430" t="s">
        <v>577</v>
      </c>
      <c r="H430" t="s">
        <v>578</v>
      </c>
      <c r="I430" t="s">
        <v>209</v>
      </c>
      <c r="J430" t="s">
        <v>176</v>
      </c>
      <c r="K430" s="30">
        <v>43032</v>
      </c>
      <c r="L430" s="8">
        <v>43028.861875000002</v>
      </c>
      <c r="M430" s="21">
        <f>LEN(ProjTextTable[[#This Row],[text]])</f>
        <v>2647</v>
      </c>
      <c r="N430" s="21">
        <f>LEN(TRIM(CLEAN(SUBSTITUTE(ProjTextTable[[#This Row],[text]],CHAR(10)," "))))+1 - LEN(SUBSTITUTE(CLEAN(SUBSTITUTE(ProjTextTable[[#This Row],[text]],CHAR(10)," "))," ",""))</f>
        <v>399</v>
      </c>
      <c r="O430" t="s">
        <v>251</v>
      </c>
      <c r="P430" t="s">
        <v>598</v>
      </c>
    </row>
    <row r="431" spans="1:16">
      <c r="A431">
        <f t="shared" si="6"/>
        <v>66</v>
      </c>
      <c r="B431" t="s">
        <v>596</v>
      </c>
      <c r="C431" t="s">
        <v>337</v>
      </c>
      <c r="D431" t="s">
        <v>194</v>
      </c>
      <c r="E431" t="s">
        <v>543</v>
      </c>
      <c r="F431" t="s">
        <v>552</v>
      </c>
      <c r="G431" t="s">
        <v>553</v>
      </c>
      <c r="H431" t="s">
        <v>554</v>
      </c>
      <c r="I431" t="s">
        <v>209</v>
      </c>
      <c r="J431" t="s">
        <v>176</v>
      </c>
      <c r="K431" s="30">
        <v>43032</v>
      </c>
      <c r="L431" s="8">
        <v>43031.376006944447</v>
      </c>
      <c r="M431" s="21">
        <f>LEN(ProjTextTable[[#This Row],[text]])</f>
        <v>2191</v>
      </c>
      <c r="N431" s="21">
        <f>LEN(TRIM(CLEAN(SUBSTITUTE(ProjTextTable[[#This Row],[text]],CHAR(10)," "))))+1 - LEN(SUBSTITUTE(CLEAN(SUBSTITUTE(ProjTextTable[[#This Row],[text]],CHAR(10)," "))," ",""))</f>
        <v>350</v>
      </c>
      <c r="O431" t="s">
        <v>251</v>
      </c>
      <c r="P431" t="s">
        <v>599</v>
      </c>
    </row>
    <row r="432" spans="1:16">
      <c r="A432">
        <f t="shared" si="6"/>
        <v>66</v>
      </c>
      <c r="B432" t="s">
        <v>596</v>
      </c>
      <c r="C432" t="s">
        <v>337</v>
      </c>
      <c r="D432" t="s">
        <v>194</v>
      </c>
      <c r="E432" t="s">
        <v>543</v>
      </c>
      <c r="F432" t="s">
        <v>556</v>
      </c>
      <c r="G432" t="s">
        <v>557</v>
      </c>
      <c r="H432" t="s">
        <v>558</v>
      </c>
      <c r="I432" t="s">
        <v>209</v>
      </c>
      <c r="J432" t="s">
        <v>176</v>
      </c>
      <c r="K432" s="30">
        <v>43032</v>
      </c>
      <c r="L432" s="8">
        <v>43030.878263888888</v>
      </c>
      <c r="M432" s="21">
        <f>LEN(ProjTextTable[[#This Row],[text]])</f>
        <v>1995</v>
      </c>
      <c r="N432" s="21">
        <f>LEN(TRIM(CLEAN(SUBSTITUTE(ProjTextTable[[#This Row],[text]],CHAR(10)," "))))+1 - LEN(SUBSTITUTE(CLEAN(SUBSTITUTE(ProjTextTable[[#This Row],[text]],CHAR(10)," "))," ",""))</f>
        <v>300</v>
      </c>
      <c r="O432" t="s">
        <v>198</v>
      </c>
      <c r="P432" t="s">
        <v>600</v>
      </c>
    </row>
    <row r="433" spans="1:16">
      <c r="A433">
        <f t="shared" si="6"/>
        <v>66</v>
      </c>
      <c r="B433" t="s">
        <v>596</v>
      </c>
      <c r="C433" t="s">
        <v>337</v>
      </c>
      <c r="D433" t="s">
        <v>194</v>
      </c>
      <c r="E433" t="s">
        <v>540</v>
      </c>
      <c r="F433" t="s">
        <v>560</v>
      </c>
      <c r="G433" t="s">
        <v>561</v>
      </c>
      <c r="H433" t="s">
        <v>562</v>
      </c>
      <c r="I433" t="s">
        <v>209</v>
      </c>
      <c r="J433" t="s">
        <v>176</v>
      </c>
      <c r="K433" s="30">
        <v>43032</v>
      </c>
      <c r="L433" s="8">
        <v>43023.931284722225</v>
      </c>
      <c r="M433" s="21">
        <f>LEN(ProjTextTable[[#This Row],[text]])</f>
        <v>2561</v>
      </c>
      <c r="N433" s="21">
        <f>LEN(TRIM(CLEAN(SUBSTITUTE(ProjTextTable[[#This Row],[text]],CHAR(10)," "))))+1 - LEN(SUBSTITUTE(CLEAN(SUBSTITUTE(ProjTextTable[[#This Row],[text]],CHAR(10)," "))," ",""))</f>
        <v>401</v>
      </c>
      <c r="O433" t="s">
        <v>202</v>
      </c>
      <c r="P433" t="s">
        <v>601</v>
      </c>
    </row>
    <row r="434" spans="1:16">
      <c r="A434">
        <f t="shared" si="6"/>
        <v>66</v>
      </c>
      <c r="B434" t="s">
        <v>596</v>
      </c>
      <c r="C434" t="s">
        <v>337</v>
      </c>
      <c r="D434" t="s">
        <v>196</v>
      </c>
      <c r="E434" t="s">
        <v>540</v>
      </c>
      <c r="F434" t="s">
        <v>13</v>
      </c>
      <c r="G434" t="s">
        <v>13</v>
      </c>
      <c r="H434" t="s">
        <v>13</v>
      </c>
      <c r="K434" s="30"/>
      <c r="L434" s="8">
        <v>42934.043275462966</v>
      </c>
      <c r="M434" s="21">
        <f>LEN(ProjTextTable[[#This Row],[text]])</f>
        <v>3506</v>
      </c>
      <c r="N434" s="21">
        <f>LEN(TRIM(CLEAN(SUBSTITUTE(ProjTextTable[[#This Row],[text]],CHAR(10)," "))))+1 - LEN(SUBSTITUTE(CLEAN(SUBSTITUTE(ProjTextTable[[#This Row],[text]],CHAR(10)," "))," ",""))</f>
        <v>480</v>
      </c>
      <c r="O434" t="s">
        <v>13</v>
      </c>
      <c r="P434" t="s">
        <v>602</v>
      </c>
    </row>
    <row r="435" spans="1:16">
      <c r="A435">
        <f t="shared" si="6"/>
        <v>67</v>
      </c>
      <c r="B435" t="s">
        <v>1532</v>
      </c>
      <c r="C435" t="s">
        <v>1533</v>
      </c>
      <c r="D435" t="s">
        <v>205</v>
      </c>
      <c r="E435" t="s">
        <v>543</v>
      </c>
      <c r="F435" t="s">
        <v>544</v>
      </c>
      <c r="G435" t="s">
        <v>545</v>
      </c>
      <c r="H435" t="s">
        <v>207</v>
      </c>
      <c r="I435" t="s">
        <v>197</v>
      </c>
      <c r="J435" t="s">
        <v>396</v>
      </c>
      <c r="K435" s="30">
        <v>43031</v>
      </c>
      <c r="L435" s="8"/>
      <c r="M435" s="21">
        <f>LEN(ProjTextTable[[#This Row],[text]])</f>
        <v>3363</v>
      </c>
      <c r="N435" s="21">
        <f>LEN(TRIM(CLEAN(SUBSTITUTE(ProjTextTable[[#This Row],[text]],CHAR(10)," "))))+1 - LEN(SUBSTITUTE(CLEAN(SUBSTITUTE(ProjTextTable[[#This Row],[text]],CHAR(10)," "))," ",""))</f>
        <v>509</v>
      </c>
      <c r="O435" t="s">
        <v>208</v>
      </c>
      <c r="P435" t="s">
        <v>1534</v>
      </c>
    </row>
    <row r="436" spans="1:16">
      <c r="A436">
        <f t="shared" si="6"/>
        <v>67</v>
      </c>
      <c r="B436" t="s">
        <v>1532</v>
      </c>
      <c r="C436" t="s">
        <v>1533</v>
      </c>
      <c r="D436" t="s">
        <v>194</v>
      </c>
      <c r="E436" t="s">
        <v>543</v>
      </c>
      <c r="F436" t="s">
        <v>650</v>
      </c>
      <c r="G436" t="s">
        <v>651</v>
      </c>
      <c r="H436" t="s">
        <v>652</v>
      </c>
      <c r="I436" t="s">
        <v>209</v>
      </c>
      <c r="J436" t="s">
        <v>176</v>
      </c>
      <c r="K436" s="30">
        <v>43032</v>
      </c>
      <c r="L436" s="8">
        <v>43030.868946759256</v>
      </c>
      <c r="M436" s="21">
        <f>LEN(ProjTextTable[[#This Row],[text]])</f>
        <v>3913</v>
      </c>
      <c r="N436" s="21">
        <f>LEN(TRIM(CLEAN(SUBSTITUTE(ProjTextTable[[#This Row],[text]],CHAR(10)," "))))+1 - LEN(SUBSTITUTE(CLEAN(SUBSTITUTE(ProjTextTable[[#This Row],[text]],CHAR(10)," "))," ",""))</f>
        <v>608</v>
      </c>
      <c r="O436" t="s">
        <v>199</v>
      </c>
      <c r="P436" t="s">
        <v>1535</v>
      </c>
    </row>
    <row r="437" spans="1:16">
      <c r="A437">
        <f t="shared" si="6"/>
        <v>67</v>
      </c>
      <c r="B437" t="s">
        <v>1532</v>
      </c>
      <c r="C437" t="s">
        <v>1533</v>
      </c>
      <c r="D437" t="s">
        <v>194</v>
      </c>
      <c r="E437" t="s">
        <v>543</v>
      </c>
      <c r="F437" t="s">
        <v>673</v>
      </c>
      <c r="G437" t="s">
        <v>674</v>
      </c>
      <c r="H437" t="s">
        <v>675</v>
      </c>
      <c r="I437" t="s">
        <v>209</v>
      </c>
      <c r="J437" t="s">
        <v>176</v>
      </c>
      <c r="K437" s="30">
        <v>43032</v>
      </c>
      <c r="L437" s="8">
        <v>43027.621539351851</v>
      </c>
      <c r="M437" s="21">
        <f>LEN(ProjTextTable[[#This Row],[text]])</f>
        <v>2023</v>
      </c>
      <c r="N437" s="21">
        <f>LEN(TRIM(CLEAN(SUBSTITUTE(ProjTextTable[[#This Row],[text]],CHAR(10)," "))))+1 - LEN(SUBSTITUTE(CLEAN(SUBSTITUTE(ProjTextTable[[#This Row],[text]],CHAR(10)," "))," ",""))</f>
        <v>292</v>
      </c>
      <c r="O437" t="s">
        <v>199</v>
      </c>
      <c r="P437" t="s">
        <v>1536</v>
      </c>
    </row>
    <row r="438" spans="1:16">
      <c r="A438">
        <f t="shared" si="6"/>
        <v>67</v>
      </c>
      <c r="B438" t="s">
        <v>1532</v>
      </c>
      <c r="C438" t="s">
        <v>1533</v>
      </c>
      <c r="D438" t="s">
        <v>194</v>
      </c>
      <c r="E438" t="s">
        <v>543</v>
      </c>
      <c r="F438" t="s">
        <v>729</v>
      </c>
      <c r="G438" t="s">
        <v>730</v>
      </c>
      <c r="H438" t="s">
        <v>731</v>
      </c>
      <c r="I438" t="s">
        <v>209</v>
      </c>
      <c r="J438" t="s">
        <v>176</v>
      </c>
      <c r="K438" s="30">
        <v>43032</v>
      </c>
      <c r="L438" s="8">
        <v>43032.51840277778</v>
      </c>
      <c r="M438" s="21">
        <f>LEN(ProjTextTable[[#This Row],[text]])</f>
        <v>6091</v>
      </c>
      <c r="N438" s="21">
        <f>LEN(TRIM(CLEAN(SUBSTITUTE(ProjTextTable[[#This Row],[text]],CHAR(10)," "))))+1 - LEN(SUBSTITUTE(CLEAN(SUBSTITUTE(ProjTextTable[[#This Row],[text]],CHAR(10)," "))," ",""))</f>
        <v>1005</v>
      </c>
      <c r="O438" t="s">
        <v>199</v>
      </c>
      <c r="P438" t="s">
        <v>1537</v>
      </c>
    </row>
    <row r="439" spans="1:16">
      <c r="A439">
        <f t="shared" si="6"/>
        <v>67</v>
      </c>
      <c r="B439" t="s">
        <v>1532</v>
      </c>
      <c r="C439" t="s">
        <v>1533</v>
      </c>
      <c r="D439" t="s">
        <v>194</v>
      </c>
      <c r="E439" t="s">
        <v>543</v>
      </c>
      <c r="F439" t="s">
        <v>612</v>
      </c>
      <c r="G439" t="s">
        <v>613</v>
      </c>
      <c r="H439" t="s">
        <v>614</v>
      </c>
      <c r="I439" t="s">
        <v>209</v>
      </c>
      <c r="J439" t="s">
        <v>176</v>
      </c>
      <c r="K439" s="30">
        <v>43032</v>
      </c>
      <c r="L439" s="8">
        <v>43026.70616898148</v>
      </c>
      <c r="M439" s="21">
        <f>LEN(ProjTextTable[[#This Row],[text]])</f>
        <v>2375</v>
      </c>
      <c r="N439" s="21">
        <f>LEN(TRIM(CLEAN(SUBSTITUTE(ProjTextTable[[#This Row],[text]],CHAR(10)," "))))+1 - LEN(SUBSTITUTE(CLEAN(SUBSTITUTE(ProjTextTable[[#This Row],[text]],CHAR(10)," "))," ",""))</f>
        <v>373</v>
      </c>
      <c r="O439" t="s">
        <v>195</v>
      </c>
      <c r="P439" t="s">
        <v>1538</v>
      </c>
    </row>
    <row r="440" spans="1:16">
      <c r="A440">
        <f t="shared" si="6"/>
        <v>67</v>
      </c>
      <c r="B440" t="s">
        <v>1532</v>
      </c>
      <c r="C440" t="s">
        <v>1533</v>
      </c>
      <c r="D440" t="s">
        <v>196</v>
      </c>
      <c r="E440" t="s">
        <v>1530</v>
      </c>
      <c r="F440" t="s">
        <v>13</v>
      </c>
      <c r="G440" t="s">
        <v>13</v>
      </c>
      <c r="H440" t="s">
        <v>13</v>
      </c>
      <c r="K440" s="30"/>
      <c r="L440" s="8">
        <v>42935.042743055557</v>
      </c>
      <c r="M440" s="21">
        <f>LEN(ProjTextTable[[#This Row],[text]])</f>
        <v>4068</v>
      </c>
      <c r="N440" s="21">
        <f>LEN(TRIM(CLEAN(SUBSTITUTE(ProjTextTable[[#This Row],[text]],CHAR(10)," "))))+1 - LEN(SUBSTITUTE(CLEAN(SUBSTITUTE(ProjTextTable[[#This Row],[text]],CHAR(10)," "))," ",""))</f>
        <v>585</v>
      </c>
      <c r="O440" t="s">
        <v>13</v>
      </c>
      <c r="P440" t="s">
        <v>1539</v>
      </c>
    </row>
    <row r="441" spans="1:16">
      <c r="A441">
        <f t="shared" si="6"/>
        <v>68</v>
      </c>
      <c r="B441" t="s">
        <v>1540</v>
      </c>
      <c r="C441" t="s">
        <v>1541</v>
      </c>
      <c r="D441" t="s">
        <v>205</v>
      </c>
      <c r="E441" t="s">
        <v>543</v>
      </c>
      <c r="F441" t="s">
        <v>544</v>
      </c>
      <c r="G441" t="s">
        <v>545</v>
      </c>
      <c r="H441" t="s">
        <v>207</v>
      </c>
      <c r="I441" t="s">
        <v>197</v>
      </c>
      <c r="J441" t="s">
        <v>668</v>
      </c>
      <c r="K441" s="30">
        <v>43031</v>
      </c>
      <c r="L441" s="8"/>
      <c r="M441" s="21">
        <f>LEN(ProjTextTable[[#This Row],[text]])</f>
        <v>4027</v>
      </c>
      <c r="N441" s="21">
        <f>LEN(TRIM(CLEAN(SUBSTITUTE(ProjTextTable[[#This Row],[text]],CHAR(10)," "))))+1 - LEN(SUBSTITUTE(CLEAN(SUBSTITUTE(ProjTextTable[[#This Row],[text]],CHAR(10)," "))," ",""))</f>
        <v>611</v>
      </c>
      <c r="O441" t="s">
        <v>208</v>
      </c>
      <c r="P441" t="s">
        <v>1542</v>
      </c>
    </row>
    <row r="442" spans="1:16">
      <c r="A442">
        <f t="shared" si="6"/>
        <v>68</v>
      </c>
      <c r="B442" t="s">
        <v>1540</v>
      </c>
      <c r="C442" t="s">
        <v>1541</v>
      </c>
      <c r="D442" t="s">
        <v>194</v>
      </c>
      <c r="E442" t="s">
        <v>543</v>
      </c>
      <c r="F442" t="s">
        <v>576</v>
      </c>
      <c r="G442" t="s">
        <v>577</v>
      </c>
      <c r="H442" t="s">
        <v>578</v>
      </c>
      <c r="I442" t="s">
        <v>209</v>
      </c>
      <c r="J442" t="s">
        <v>176</v>
      </c>
      <c r="K442" s="30">
        <v>43032</v>
      </c>
      <c r="L442" s="8">
        <v>43028.861875000002</v>
      </c>
      <c r="M442" s="21">
        <f>LEN(ProjTextTable[[#This Row],[text]])</f>
        <v>2572</v>
      </c>
      <c r="N442" s="21">
        <f>LEN(TRIM(CLEAN(SUBSTITUTE(ProjTextTable[[#This Row],[text]],CHAR(10)," "))))+1 - LEN(SUBSTITUTE(CLEAN(SUBSTITUTE(ProjTextTable[[#This Row],[text]],CHAR(10)," "))," ",""))</f>
        <v>393</v>
      </c>
      <c r="O442" t="s">
        <v>199</v>
      </c>
      <c r="P442" t="s">
        <v>1543</v>
      </c>
    </row>
    <row r="443" spans="1:16">
      <c r="A443">
        <f t="shared" si="6"/>
        <v>68</v>
      </c>
      <c r="B443" t="s">
        <v>1540</v>
      </c>
      <c r="C443" t="s">
        <v>1541</v>
      </c>
      <c r="D443" t="s">
        <v>194</v>
      </c>
      <c r="E443" t="s">
        <v>1530</v>
      </c>
      <c r="F443" t="s">
        <v>560</v>
      </c>
      <c r="G443" t="s">
        <v>561</v>
      </c>
      <c r="H443" t="s">
        <v>562</v>
      </c>
      <c r="I443" t="s">
        <v>209</v>
      </c>
      <c r="J443" t="s">
        <v>176</v>
      </c>
      <c r="K443" s="30">
        <v>43032</v>
      </c>
      <c r="L443" s="8">
        <v>43017.899826388886</v>
      </c>
      <c r="M443" s="21">
        <f>LEN(ProjTextTable[[#This Row],[text]])</f>
        <v>3376</v>
      </c>
      <c r="N443" s="21">
        <f>LEN(TRIM(CLEAN(SUBSTITUTE(ProjTextTable[[#This Row],[text]],CHAR(10)," "))))+1 - LEN(SUBSTITUTE(CLEAN(SUBSTITUTE(ProjTextTable[[#This Row],[text]],CHAR(10)," "))," ",""))</f>
        <v>539</v>
      </c>
      <c r="O443" t="s">
        <v>199</v>
      </c>
      <c r="P443" t="s">
        <v>1544</v>
      </c>
    </row>
    <row r="444" spans="1:16">
      <c r="A444">
        <f t="shared" si="6"/>
        <v>68</v>
      </c>
      <c r="B444" t="s">
        <v>1540</v>
      </c>
      <c r="C444" t="s">
        <v>1541</v>
      </c>
      <c r="D444" t="s">
        <v>194</v>
      </c>
      <c r="E444" t="s">
        <v>543</v>
      </c>
      <c r="F444" t="s">
        <v>729</v>
      </c>
      <c r="G444" t="s">
        <v>730</v>
      </c>
      <c r="H444" t="s">
        <v>731</v>
      </c>
      <c r="I444" t="s">
        <v>209</v>
      </c>
      <c r="J444" t="s">
        <v>176</v>
      </c>
      <c r="K444" s="30">
        <v>43032</v>
      </c>
      <c r="L444" s="8">
        <v>43032.515555555554</v>
      </c>
      <c r="M444" s="21">
        <f>LEN(ProjTextTable[[#This Row],[text]])</f>
        <v>5884</v>
      </c>
      <c r="N444" s="21">
        <f>LEN(TRIM(CLEAN(SUBSTITUTE(ProjTextTable[[#This Row],[text]],CHAR(10)," "))))+1 - LEN(SUBSTITUTE(CLEAN(SUBSTITUTE(ProjTextTable[[#This Row],[text]],CHAR(10)," "))," ",""))</f>
        <v>993</v>
      </c>
      <c r="O444" t="s">
        <v>199</v>
      </c>
      <c r="P444" t="s">
        <v>1545</v>
      </c>
    </row>
    <row r="445" spans="1:16">
      <c r="A445">
        <f t="shared" si="6"/>
        <v>68</v>
      </c>
      <c r="B445" t="s">
        <v>1540</v>
      </c>
      <c r="C445" t="s">
        <v>1541</v>
      </c>
      <c r="D445" t="s">
        <v>194</v>
      </c>
      <c r="E445" t="s">
        <v>543</v>
      </c>
      <c r="F445" t="s">
        <v>606</v>
      </c>
      <c r="G445" t="s">
        <v>607</v>
      </c>
      <c r="H445" t="s">
        <v>608</v>
      </c>
      <c r="I445" t="s">
        <v>209</v>
      </c>
      <c r="J445" t="s">
        <v>176</v>
      </c>
      <c r="K445" s="30">
        <v>43032</v>
      </c>
      <c r="L445" s="8">
        <v>43030.115324074075</v>
      </c>
      <c r="M445" s="21">
        <f>LEN(ProjTextTable[[#This Row],[text]])</f>
        <v>2904</v>
      </c>
      <c r="N445" s="21">
        <f>LEN(TRIM(CLEAN(SUBSTITUTE(ProjTextTable[[#This Row],[text]],CHAR(10)," "))))+1 - LEN(SUBSTITUTE(CLEAN(SUBSTITUTE(ProjTextTable[[#This Row],[text]],CHAR(10)," "))," ",""))</f>
        <v>453</v>
      </c>
      <c r="O445" t="s">
        <v>251</v>
      </c>
      <c r="P445" t="s">
        <v>1546</v>
      </c>
    </row>
    <row r="446" spans="1:16">
      <c r="A446">
        <f t="shared" si="6"/>
        <v>69</v>
      </c>
      <c r="B446" t="s">
        <v>1547</v>
      </c>
      <c r="C446" t="s">
        <v>1548</v>
      </c>
      <c r="D446" t="s">
        <v>205</v>
      </c>
      <c r="E446" t="s">
        <v>543</v>
      </c>
      <c r="F446" t="s">
        <v>619</v>
      </c>
      <c r="G446" t="s">
        <v>620</v>
      </c>
      <c r="H446" t="s">
        <v>207</v>
      </c>
      <c r="I446" t="s">
        <v>197</v>
      </c>
      <c r="J446" t="s">
        <v>668</v>
      </c>
      <c r="K446" s="30">
        <v>43059</v>
      </c>
      <c r="L446" s="8"/>
      <c r="M446" s="21">
        <f>LEN(ProjTextTable[[#This Row],[text]])</f>
        <v>2457</v>
      </c>
      <c r="N446" s="21">
        <f>LEN(TRIM(CLEAN(SUBSTITUTE(ProjTextTable[[#This Row],[text]],CHAR(10)," "))))+1 - LEN(SUBSTITUTE(CLEAN(SUBSTITUTE(ProjTextTable[[#This Row],[text]],CHAR(10)," "))," ",""))</f>
        <v>367</v>
      </c>
      <c r="O446" t="s">
        <v>208</v>
      </c>
      <c r="P446" t="s">
        <v>1549</v>
      </c>
    </row>
    <row r="447" spans="1:16">
      <c r="A447">
        <f t="shared" si="6"/>
        <v>69</v>
      </c>
      <c r="B447" t="s">
        <v>1547</v>
      </c>
      <c r="C447" t="s">
        <v>1548</v>
      </c>
      <c r="D447" t="s">
        <v>194</v>
      </c>
      <c r="E447" t="s">
        <v>543</v>
      </c>
      <c r="F447" t="s">
        <v>1507</v>
      </c>
      <c r="G447" t="s">
        <v>1508</v>
      </c>
      <c r="H447" t="s">
        <v>1509</v>
      </c>
      <c r="I447" t="s">
        <v>209</v>
      </c>
      <c r="J447" t="s">
        <v>176</v>
      </c>
      <c r="K447" s="30">
        <v>43060</v>
      </c>
      <c r="L447" s="8">
        <v>43058.884155092594</v>
      </c>
      <c r="M447" s="21">
        <f>LEN(ProjTextTable[[#This Row],[text]])</f>
        <v>3205</v>
      </c>
      <c r="N447" s="21">
        <f>LEN(TRIM(CLEAN(SUBSTITUTE(ProjTextTable[[#This Row],[text]],CHAR(10)," "))))+1 - LEN(SUBSTITUTE(CLEAN(SUBSTITUTE(ProjTextTable[[#This Row],[text]],CHAR(10)," "))," ",""))</f>
        <v>478</v>
      </c>
      <c r="O447" t="s">
        <v>199</v>
      </c>
      <c r="P447" t="s">
        <v>1550</v>
      </c>
    </row>
    <row r="448" spans="1:16">
      <c r="A448">
        <f t="shared" si="6"/>
        <v>69</v>
      </c>
      <c r="B448" t="s">
        <v>1547</v>
      </c>
      <c r="C448" t="s">
        <v>1548</v>
      </c>
      <c r="D448" t="s">
        <v>194</v>
      </c>
      <c r="E448" t="s">
        <v>543</v>
      </c>
      <c r="F448" t="s">
        <v>1515</v>
      </c>
      <c r="G448" t="s">
        <v>1516</v>
      </c>
      <c r="H448" t="s">
        <v>1517</v>
      </c>
      <c r="I448" t="s">
        <v>209</v>
      </c>
      <c r="J448" t="s">
        <v>176</v>
      </c>
      <c r="K448" s="30">
        <v>43060</v>
      </c>
      <c r="L448" s="8">
        <v>43055.8827662037</v>
      </c>
      <c r="M448" s="21">
        <f>LEN(ProjTextTable[[#This Row],[text]])</f>
        <v>1731</v>
      </c>
      <c r="N448" s="21">
        <f>LEN(TRIM(CLEAN(SUBSTITUTE(ProjTextTable[[#This Row],[text]],CHAR(10)," "))))+1 - LEN(SUBSTITUTE(CLEAN(SUBSTITUTE(ProjTextTable[[#This Row],[text]],CHAR(10)," "))," ",""))</f>
        <v>268</v>
      </c>
      <c r="O448" t="s">
        <v>251</v>
      </c>
      <c r="P448" t="s">
        <v>1551</v>
      </c>
    </row>
    <row r="449" spans="1:16">
      <c r="A449">
        <f t="shared" si="6"/>
        <v>69</v>
      </c>
      <c r="B449" t="s">
        <v>1547</v>
      </c>
      <c r="C449" t="s">
        <v>1548</v>
      </c>
      <c r="D449" t="s">
        <v>194</v>
      </c>
      <c r="E449" t="s">
        <v>543</v>
      </c>
      <c r="F449" t="s">
        <v>1552</v>
      </c>
      <c r="G449" t="s">
        <v>1553</v>
      </c>
      <c r="H449" t="s">
        <v>1554</v>
      </c>
      <c r="I449" t="s">
        <v>209</v>
      </c>
      <c r="J449" t="s">
        <v>176</v>
      </c>
      <c r="K449" s="30">
        <v>43060</v>
      </c>
      <c r="L449" s="8">
        <v>43059.920208333337</v>
      </c>
      <c r="M449" s="21">
        <f>LEN(ProjTextTable[[#This Row],[text]])</f>
        <v>1340</v>
      </c>
      <c r="N449" s="21">
        <f>LEN(TRIM(CLEAN(SUBSTITUTE(ProjTextTable[[#This Row],[text]],CHAR(10)," "))))+1 - LEN(SUBSTITUTE(CLEAN(SUBSTITUTE(ProjTextTable[[#This Row],[text]],CHAR(10)," "))," ",""))</f>
        <v>195</v>
      </c>
      <c r="O449" t="s">
        <v>195</v>
      </c>
      <c r="P449" t="s">
        <v>1555</v>
      </c>
    </row>
    <row r="450" spans="1:16">
      <c r="A450">
        <f t="shared" ref="A450:A513" si="7">A449+(B450&lt;&gt;B449)</f>
        <v>69</v>
      </c>
      <c r="B450" t="s">
        <v>1547</v>
      </c>
      <c r="C450" t="s">
        <v>1548</v>
      </c>
      <c r="D450" t="s">
        <v>194</v>
      </c>
      <c r="E450" t="s">
        <v>543</v>
      </c>
      <c r="F450" t="s">
        <v>1556</v>
      </c>
      <c r="G450" t="s">
        <v>1557</v>
      </c>
      <c r="H450" t="s">
        <v>1558</v>
      </c>
      <c r="I450" t="s">
        <v>209</v>
      </c>
      <c r="J450" t="s">
        <v>176</v>
      </c>
      <c r="K450" s="30">
        <v>43060</v>
      </c>
      <c r="L450" s="8">
        <v>43056.618009259262</v>
      </c>
      <c r="M450" s="21">
        <f>LEN(ProjTextTable[[#This Row],[text]])</f>
        <v>1555</v>
      </c>
      <c r="N450" s="21">
        <f>LEN(TRIM(CLEAN(SUBSTITUTE(ProjTextTable[[#This Row],[text]],CHAR(10)," "))))+1 - LEN(SUBSTITUTE(CLEAN(SUBSTITUTE(ProjTextTable[[#This Row],[text]],CHAR(10)," "))," ",""))</f>
        <v>240</v>
      </c>
      <c r="O450" t="s">
        <v>199</v>
      </c>
      <c r="P450" t="s">
        <v>1559</v>
      </c>
    </row>
    <row r="451" spans="1:16">
      <c r="A451">
        <f t="shared" si="7"/>
        <v>70</v>
      </c>
      <c r="B451" t="s">
        <v>603</v>
      </c>
      <c r="C451" t="s">
        <v>604</v>
      </c>
      <c r="D451" t="s">
        <v>205</v>
      </c>
      <c r="E451" t="s">
        <v>543</v>
      </c>
      <c r="F451" t="s">
        <v>544</v>
      </c>
      <c r="G451" t="s">
        <v>545</v>
      </c>
      <c r="H451" t="s">
        <v>207</v>
      </c>
      <c r="I451" t="s">
        <v>197</v>
      </c>
      <c r="J451" t="s">
        <v>252</v>
      </c>
      <c r="K451" s="30">
        <v>43031</v>
      </c>
      <c r="L451" s="8"/>
      <c r="M451" s="21">
        <f>LEN(ProjTextTable[[#This Row],[text]])</f>
        <v>3492</v>
      </c>
      <c r="N451" s="21">
        <f>LEN(TRIM(CLEAN(SUBSTITUTE(ProjTextTable[[#This Row],[text]],CHAR(10)," "))))+1 - LEN(SUBSTITUTE(CLEAN(SUBSTITUTE(ProjTextTable[[#This Row],[text]],CHAR(10)," "))," ",""))</f>
        <v>501</v>
      </c>
      <c r="O451" t="s">
        <v>208</v>
      </c>
      <c r="P451" t="s">
        <v>605</v>
      </c>
    </row>
    <row r="452" spans="1:16">
      <c r="A452">
        <f t="shared" si="7"/>
        <v>70</v>
      </c>
      <c r="B452" t="s">
        <v>603</v>
      </c>
      <c r="C452" t="s">
        <v>604</v>
      </c>
      <c r="D452" t="s">
        <v>194</v>
      </c>
      <c r="E452" t="s">
        <v>543</v>
      </c>
      <c r="F452" t="s">
        <v>606</v>
      </c>
      <c r="G452" t="s">
        <v>607</v>
      </c>
      <c r="H452" t="s">
        <v>608</v>
      </c>
      <c r="I452" t="s">
        <v>209</v>
      </c>
      <c r="J452" t="s">
        <v>176</v>
      </c>
      <c r="K452" s="30">
        <v>43032</v>
      </c>
      <c r="L452" s="8">
        <v>43030.723078703704</v>
      </c>
      <c r="M452" s="21">
        <f>LEN(ProjTextTable[[#This Row],[text]])</f>
        <v>2678</v>
      </c>
      <c r="N452" s="21">
        <f>LEN(TRIM(CLEAN(SUBSTITUTE(ProjTextTable[[#This Row],[text]],CHAR(10)," "))))+1 - LEN(SUBSTITUTE(CLEAN(SUBSTITUTE(ProjTextTable[[#This Row],[text]],CHAR(10)," "))," ",""))</f>
        <v>407</v>
      </c>
      <c r="O452" t="s">
        <v>199</v>
      </c>
      <c r="P452" t="s">
        <v>609</v>
      </c>
    </row>
    <row r="453" spans="1:16">
      <c r="A453">
        <f t="shared" si="7"/>
        <v>70</v>
      </c>
      <c r="B453" t="s">
        <v>603</v>
      </c>
      <c r="C453" t="s">
        <v>604</v>
      </c>
      <c r="D453" t="s">
        <v>194</v>
      </c>
      <c r="E453" t="s">
        <v>543</v>
      </c>
      <c r="F453" t="s">
        <v>580</v>
      </c>
      <c r="G453" t="s">
        <v>581</v>
      </c>
      <c r="H453" t="s">
        <v>582</v>
      </c>
      <c r="I453" t="s">
        <v>209</v>
      </c>
      <c r="J453" t="s">
        <v>176</v>
      </c>
      <c r="K453" s="30">
        <v>43032</v>
      </c>
      <c r="L453" s="8">
        <v>43030.031655092593</v>
      </c>
      <c r="M453" s="21">
        <f>LEN(ProjTextTable[[#This Row],[text]])</f>
        <v>2970</v>
      </c>
      <c r="N453" s="21">
        <f>LEN(TRIM(CLEAN(SUBSTITUTE(ProjTextTable[[#This Row],[text]],CHAR(10)," "))))+1 - LEN(SUBSTITUTE(CLEAN(SUBSTITUTE(ProjTextTable[[#This Row],[text]],CHAR(10)," "))," ",""))</f>
        <v>441</v>
      </c>
      <c r="O453" t="s">
        <v>199</v>
      </c>
      <c r="P453" t="s">
        <v>610</v>
      </c>
    </row>
    <row r="454" spans="1:16">
      <c r="A454">
        <f t="shared" si="7"/>
        <v>70</v>
      </c>
      <c r="B454" t="s">
        <v>603</v>
      </c>
      <c r="C454" t="s">
        <v>604</v>
      </c>
      <c r="D454" t="s">
        <v>194</v>
      </c>
      <c r="E454" t="s">
        <v>543</v>
      </c>
      <c r="F454" t="s">
        <v>591</v>
      </c>
      <c r="G454" t="s">
        <v>592</v>
      </c>
      <c r="H454" t="s">
        <v>593</v>
      </c>
      <c r="I454" t="s">
        <v>209</v>
      </c>
      <c r="J454" t="s">
        <v>176</v>
      </c>
      <c r="K454" s="30">
        <v>43032</v>
      </c>
      <c r="L454" s="8">
        <v>43029.774409722224</v>
      </c>
      <c r="M454" s="21">
        <f>LEN(ProjTextTable[[#This Row],[text]])</f>
        <v>1606</v>
      </c>
      <c r="N454" s="21">
        <f>LEN(TRIM(CLEAN(SUBSTITUTE(ProjTextTable[[#This Row],[text]],CHAR(10)," "))))+1 - LEN(SUBSTITUTE(CLEAN(SUBSTITUTE(ProjTextTable[[#This Row],[text]],CHAR(10)," "))," ",""))</f>
        <v>239</v>
      </c>
      <c r="O454" t="s">
        <v>195</v>
      </c>
      <c r="P454" t="s">
        <v>611</v>
      </c>
    </row>
    <row r="455" spans="1:16">
      <c r="A455">
        <f t="shared" si="7"/>
        <v>70</v>
      </c>
      <c r="B455" t="s">
        <v>603</v>
      </c>
      <c r="C455" t="s">
        <v>604</v>
      </c>
      <c r="D455" t="s">
        <v>194</v>
      </c>
      <c r="E455" t="s">
        <v>543</v>
      </c>
      <c r="F455" t="s">
        <v>612</v>
      </c>
      <c r="G455" t="s">
        <v>613</v>
      </c>
      <c r="H455" t="s">
        <v>614</v>
      </c>
      <c r="I455" t="s">
        <v>209</v>
      </c>
      <c r="J455" t="s">
        <v>176</v>
      </c>
      <c r="K455" s="30">
        <v>43032</v>
      </c>
      <c r="L455" s="8">
        <v>43027.338993055557</v>
      </c>
      <c r="M455" s="21">
        <f>LEN(ProjTextTable[[#This Row],[text]])</f>
        <v>3261</v>
      </c>
      <c r="N455" s="21">
        <f>LEN(TRIM(CLEAN(SUBSTITUTE(ProjTextTable[[#This Row],[text]],CHAR(10)," "))))+1 - LEN(SUBSTITUTE(CLEAN(SUBSTITUTE(ProjTextTable[[#This Row],[text]],CHAR(10)," "))," ",""))</f>
        <v>511</v>
      </c>
      <c r="O455" t="s">
        <v>198</v>
      </c>
      <c r="P455" t="s">
        <v>615</v>
      </c>
    </row>
    <row r="456" spans="1:16">
      <c r="A456">
        <f t="shared" si="7"/>
        <v>70</v>
      </c>
      <c r="B456" t="s">
        <v>603</v>
      </c>
      <c r="C456" t="s">
        <v>604</v>
      </c>
      <c r="D456" t="s">
        <v>196</v>
      </c>
      <c r="E456" t="s">
        <v>543</v>
      </c>
      <c r="F456" t="s">
        <v>13</v>
      </c>
      <c r="G456" t="s">
        <v>13</v>
      </c>
      <c r="H456" t="s">
        <v>13</v>
      </c>
      <c r="K456" s="30"/>
      <c r="L456" s="8">
        <v>42935.042881944442</v>
      </c>
      <c r="M456" s="21">
        <f>LEN(ProjTextTable[[#This Row],[text]])</f>
        <v>4012</v>
      </c>
      <c r="N456" s="21">
        <f>LEN(TRIM(CLEAN(SUBSTITUTE(ProjTextTable[[#This Row],[text]],CHAR(10)," "))))+1 - LEN(SUBSTITUTE(CLEAN(SUBSTITUTE(ProjTextTable[[#This Row],[text]],CHAR(10)," "))," ",""))</f>
        <v>584</v>
      </c>
      <c r="O456" t="s">
        <v>13</v>
      </c>
      <c r="P456" t="s">
        <v>616</v>
      </c>
    </row>
    <row r="457" spans="1:16">
      <c r="A457">
        <f t="shared" si="7"/>
        <v>71</v>
      </c>
      <c r="B457" t="s">
        <v>617</v>
      </c>
      <c r="C457" t="s">
        <v>618</v>
      </c>
      <c r="D457" t="s">
        <v>205</v>
      </c>
      <c r="E457" t="s">
        <v>543</v>
      </c>
      <c r="F457" t="s">
        <v>619</v>
      </c>
      <c r="G457" t="s">
        <v>620</v>
      </c>
      <c r="H457" t="s">
        <v>207</v>
      </c>
      <c r="I457" t="s">
        <v>197</v>
      </c>
      <c r="J457" t="s">
        <v>200</v>
      </c>
      <c r="K457" s="30">
        <v>43059</v>
      </c>
      <c r="L457" s="8"/>
      <c r="M457" s="21">
        <f>LEN(ProjTextTable[[#This Row],[text]])</f>
        <v>2672</v>
      </c>
      <c r="N457" s="21">
        <f>LEN(TRIM(CLEAN(SUBSTITUTE(ProjTextTable[[#This Row],[text]],CHAR(10)," "))))+1 - LEN(SUBSTITUTE(CLEAN(SUBSTITUTE(ProjTextTable[[#This Row],[text]],CHAR(10)," "))," ",""))</f>
        <v>394</v>
      </c>
      <c r="O457" t="s">
        <v>208</v>
      </c>
      <c r="P457" t="s">
        <v>621</v>
      </c>
    </row>
    <row r="458" spans="1:16">
      <c r="A458">
        <f t="shared" si="7"/>
        <v>71</v>
      </c>
      <c r="B458" t="s">
        <v>617</v>
      </c>
      <c r="C458" t="s">
        <v>618</v>
      </c>
      <c r="D458" t="s">
        <v>194</v>
      </c>
      <c r="E458" t="s">
        <v>540</v>
      </c>
      <c r="F458" t="s">
        <v>622</v>
      </c>
      <c r="G458" t="s">
        <v>623</v>
      </c>
      <c r="H458" t="s">
        <v>624</v>
      </c>
      <c r="I458" t="s">
        <v>209</v>
      </c>
      <c r="J458" t="s">
        <v>176</v>
      </c>
      <c r="K458" s="30">
        <v>43060</v>
      </c>
      <c r="L458" s="8">
        <v>43059.664166666669</v>
      </c>
      <c r="M458" s="21">
        <f>LEN(ProjTextTable[[#This Row],[text]])</f>
        <v>1844</v>
      </c>
      <c r="N458" s="21">
        <f>LEN(TRIM(CLEAN(SUBSTITUTE(ProjTextTable[[#This Row],[text]],CHAR(10)," "))))+1 - LEN(SUBSTITUTE(CLEAN(SUBSTITUTE(ProjTextTable[[#This Row],[text]],CHAR(10)," "))," ",""))</f>
        <v>267</v>
      </c>
      <c r="O458" t="s">
        <v>251</v>
      </c>
      <c r="P458" t="s">
        <v>625</v>
      </c>
    </row>
    <row r="459" spans="1:16">
      <c r="A459">
        <f t="shared" si="7"/>
        <v>71</v>
      </c>
      <c r="B459" t="s">
        <v>617</v>
      </c>
      <c r="C459" t="s">
        <v>618</v>
      </c>
      <c r="D459" t="s">
        <v>194</v>
      </c>
      <c r="E459" t="s">
        <v>543</v>
      </c>
      <c r="F459" t="s">
        <v>626</v>
      </c>
      <c r="G459" t="s">
        <v>627</v>
      </c>
      <c r="H459" t="s">
        <v>628</v>
      </c>
      <c r="I459" t="s">
        <v>209</v>
      </c>
      <c r="J459" t="s">
        <v>176</v>
      </c>
      <c r="K459" s="30">
        <v>43060</v>
      </c>
      <c r="L459" s="8">
        <v>43059.226400462961</v>
      </c>
      <c r="M459" s="21">
        <f>LEN(ProjTextTable[[#This Row],[text]])</f>
        <v>3132</v>
      </c>
      <c r="N459" s="21">
        <f>LEN(TRIM(CLEAN(SUBSTITUTE(ProjTextTable[[#This Row],[text]],CHAR(10)," "))))+1 - LEN(SUBSTITUTE(CLEAN(SUBSTITUTE(ProjTextTable[[#This Row],[text]],CHAR(10)," "))," ",""))</f>
        <v>456</v>
      </c>
      <c r="O459" t="s">
        <v>199</v>
      </c>
      <c r="P459" t="s">
        <v>629</v>
      </c>
    </row>
    <row r="460" spans="1:16">
      <c r="A460">
        <f t="shared" si="7"/>
        <v>71</v>
      </c>
      <c r="B460" t="s">
        <v>617</v>
      </c>
      <c r="C460" t="s">
        <v>618</v>
      </c>
      <c r="D460" t="s">
        <v>194</v>
      </c>
      <c r="E460" t="s">
        <v>540</v>
      </c>
      <c r="F460" t="s">
        <v>630</v>
      </c>
      <c r="G460" t="s">
        <v>631</v>
      </c>
      <c r="H460" t="s">
        <v>632</v>
      </c>
      <c r="I460" t="s">
        <v>209</v>
      </c>
      <c r="J460" t="s">
        <v>176</v>
      </c>
      <c r="K460" s="30">
        <v>43060</v>
      </c>
      <c r="L460" s="8">
        <v>43054.497754629629</v>
      </c>
      <c r="M460" s="21">
        <f>LEN(ProjTextTable[[#This Row],[text]])</f>
        <v>2925</v>
      </c>
      <c r="N460" s="21">
        <f>LEN(TRIM(CLEAN(SUBSTITUTE(ProjTextTable[[#This Row],[text]],CHAR(10)," "))))+1 - LEN(SUBSTITUTE(CLEAN(SUBSTITUTE(ProjTextTable[[#This Row],[text]],CHAR(10)," "))," ",""))</f>
        <v>433</v>
      </c>
      <c r="O460" t="s">
        <v>199</v>
      </c>
      <c r="P460" t="s">
        <v>633</v>
      </c>
    </row>
    <row r="461" spans="1:16">
      <c r="A461">
        <f t="shared" si="7"/>
        <v>71</v>
      </c>
      <c r="B461" t="s">
        <v>617</v>
      </c>
      <c r="C461" t="s">
        <v>618</v>
      </c>
      <c r="D461" t="s">
        <v>194</v>
      </c>
      <c r="E461" t="s">
        <v>543</v>
      </c>
      <c r="F461" t="s">
        <v>634</v>
      </c>
      <c r="G461" t="s">
        <v>635</v>
      </c>
      <c r="H461" t="s">
        <v>636</v>
      </c>
      <c r="I461" t="s">
        <v>209</v>
      </c>
      <c r="J461" t="s">
        <v>176</v>
      </c>
      <c r="K461" s="30">
        <v>43060</v>
      </c>
      <c r="L461" s="8">
        <v>43056.703969907408</v>
      </c>
      <c r="M461" s="21">
        <f>LEN(ProjTextTable[[#This Row],[text]])</f>
        <v>4277</v>
      </c>
      <c r="N461" s="21">
        <f>LEN(TRIM(CLEAN(SUBSTITUTE(ProjTextTable[[#This Row],[text]],CHAR(10)," "))))+1 - LEN(SUBSTITUTE(CLEAN(SUBSTITUTE(ProjTextTable[[#This Row],[text]],CHAR(10)," "))," ",""))</f>
        <v>627</v>
      </c>
      <c r="O461" t="s">
        <v>251</v>
      </c>
      <c r="P461" t="s">
        <v>637</v>
      </c>
    </row>
    <row r="462" spans="1:16">
      <c r="A462">
        <f t="shared" si="7"/>
        <v>71</v>
      </c>
      <c r="B462" t="s">
        <v>617</v>
      </c>
      <c r="C462" t="s">
        <v>618</v>
      </c>
      <c r="D462" t="s">
        <v>196</v>
      </c>
      <c r="E462" t="s">
        <v>540</v>
      </c>
      <c r="F462" t="s">
        <v>13</v>
      </c>
      <c r="G462" t="s">
        <v>13</v>
      </c>
      <c r="H462" t="s">
        <v>13</v>
      </c>
      <c r="K462" s="30"/>
      <c r="L462" s="8">
        <v>42935.043124999997</v>
      </c>
      <c r="M462" s="21">
        <f>LEN(ProjTextTable[[#This Row],[text]])</f>
        <v>3824</v>
      </c>
      <c r="N462" s="21">
        <f>LEN(TRIM(CLEAN(SUBSTITUTE(ProjTextTable[[#This Row],[text]],CHAR(10)," "))))+1 - LEN(SUBSTITUTE(CLEAN(SUBSTITUTE(ProjTextTable[[#This Row],[text]],CHAR(10)," "))," ",""))</f>
        <v>539</v>
      </c>
      <c r="O462" t="s">
        <v>13</v>
      </c>
      <c r="P462" t="s">
        <v>638</v>
      </c>
    </row>
    <row r="463" spans="1:16">
      <c r="A463">
        <f t="shared" si="7"/>
        <v>72</v>
      </c>
      <c r="B463" t="s">
        <v>639</v>
      </c>
      <c r="C463" t="s">
        <v>640</v>
      </c>
      <c r="D463" t="s">
        <v>205</v>
      </c>
      <c r="E463" t="s">
        <v>543</v>
      </c>
      <c r="F463" t="s">
        <v>544</v>
      </c>
      <c r="G463" t="s">
        <v>545</v>
      </c>
      <c r="H463" t="s">
        <v>249</v>
      </c>
      <c r="I463" t="s">
        <v>193</v>
      </c>
      <c r="J463" t="s">
        <v>566</v>
      </c>
      <c r="K463" s="30">
        <v>43031</v>
      </c>
      <c r="L463" s="8"/>
      <c r="M463" s="21">
        <f>LEN(ProjTextTable[[#This Row],[text]])</f>
        <v>3155</v>
      </c>
      <c r="N463" s="21">
        <f>LEN(TRIM(CLEAN(SUBSTITUTE(ProjTextTable[[#This Row],[text]],CHAR(10)," "))))+1 - LEN(SUBSTITUTE(CLEAN(SUBSTITUTE(ProjTextTable[[#This Row],[text]],CHAR(10)," "))," ",""))</f>
        <v>468</v>
      </c>
      <c r="O463" t="s">
        <v>248</v>
      </c>
      <c r="P463" t="s">
        <v>641</v>
      </c>
    </row>
    <row r="464" spans="1:16">
      <c r="A464">
        <f t="shared" si="7"/>
        <v>72</v>
      </c>
      <c r="B464" t="s">
        <v>639</v>
      </c>
      <c r="C464" t="s">
        <v>640</v>
      </c>
      <c r="D464" t="s">
        <v>194</v>
      </c>
      <c r="E464" t="s">
        <v>543</v>
      </c>
      <c r="F464" t="s">
        <v>568</v>
      </c>
      <c r="G464" t="s">
        <v>569</v>
      </c>
      <c r="H464" t="s">
        <v>570</v>
      </c>
      <c r="I464" t="s">
        <v>209</v>
      </c>
      <c r="J464" t="s">
        <v>176</v>
      </c>
      <c r="K464" s="30">
        <v>43032</v>
      </c>
      <c r="L464" s="8">
        <v>43022.920254629629</v>
      </c>
      <c r="M464" s="21">
        <f>LEN(ProjTextTable[[#This Row],[text]])</f>
        <v>1892</v>
      </c>
      <c r="N464" s="21">
        <f>LEN(TRIM(CLEAN(SUBSTITUTE(ProjTextTable[[#This Row],[text]],CHAR(10)," "))))+1 - LEN(SUBSTITUTE(CLEAN(SUBSTITUTE(ProjTextTable[[#This Row],[text]],CHAR(10)," "))," ",""))</f>
        <v>282</v>
      </c>
      <c r="O464" t="s">
        <v>251</v>
      </c>
      <c r="P464" t="s">
        <v>642</v>
      </c>
    </row>
    <row r="465" spans="1:16">
      <c r="A465">
        <f t="shared" si="7"/>
        <v>72</v>
      </c>
      <c r="B465" t="s">
        <v>639</v>
      </c>
      <c r="C465" t="s">
        <v>640</v>
      </c>
      <c r="D465" t="s">
        <v>194</v>
      </c>
      <c r="E465" t="s">
        <v>543</v>
      </c>
      <c r="F465" t="s">
        <v>576</v>
      </c>
      <c r="G465" t="s">
        <v>577</v>
      </c>
      <c r="H465" t="s">
        <v>578</v>
      </c>
      <c r="I465" t="s">
        <v>209</v>
      </c>
      <c r="J465" t="s">
        <v>176</v>
      </c>
      <c r="K465" s="30">
        <v>43032</v>
      </c>
      <c r="L465" s="8">
        <v>43028.861875000002</v>
      </c>
      <c r="M465" s="21">
        <f>LEN(ProjTextTable[[#This Row],[text]])</f>
        <v>1845</v>
      </c>
      <c r="N465" s="21">
        <f>LEN(TRIM(CLEAN(SUBSTITUTE(ProjTextTable[[#This Row],[text]],CHAR(10)," "))))+1 - LEN(SUBSTITUTE(CLEAN(SUBSTITUTE(ProjTextTable[[#This Row],[text]],CHAR(10)," "))," ",""))</f>
        <v>272</v>
      </c>
      <c r="O465" t="s">
        <v>201</v>
      </c>
      <c r="P465" t="s">
        <v>643</v>
      </c>
    </row>
    <row r="466" spans="1:16">
      <c r="A466">
        <f t="shared" si="7"/>
        <v>72</v>
      </c>
      <c r="B466" t="s">
        <v>639</v>
      </c>
      <c r="C466" t="s">
        <v>640</v>
      </c>
      <c r="D466" t="s">
        <v>194</v>
      </c>
      <c r="E466" t="s">
        <v>540</v>
      </c>
      <c r="F466" t="s">
        <v>560</v>
      </c>
      <c r="G466" t="s">
        <v>561</v>
      </c>
      <c r="H466" t="s">
        <v>562</v>
      </c>
      <c r="I466" t="s">
        <v>209</v>
      </c>
      <c r="J466" t="s">
        <v>176</v>
      </c>
      <c r="K466" s="30">
        <v>43032</v>
      </c>
      <c r="L466" s="8">
        <v>43028.683356481481</v>
      </c>
      <c r="M466" s="21">
        <f>LEN(ProjTextTable[[#This Row],[text]])</f>
        <v>2593</v>
      </c>
      <c r="N466" s="21">
        <f>LEN(TRIM(CLEAN(SUBSTITUTE(ProjTextTable[[#This Row],[text]],CHAR(10)," "))))+1 - LEN(SUBSTITUTE(CLEAN(SUBSTITUTE(ProjTextTable[[#This Row],[text]],CHAR(10)," "))," ",""))</f>
        <v>407</v>
      </c>
      <c r="O466" t="s">
        <v>199</v>
      </c>
      <c r="P466" t="s">
        <v>644</v>
      </c>
    </row>
    <row r="467" spans="1:16">
      <c r="A467">
        <f t="shared" si="7"/>
        <v>72</v>
      </c>
      <c r="B467" t="s">
        <v>639</v>
      </c>
      <c r="C467" t="s">
        <v>640</v>
      </c>
      <c r="D467" t="s">
        <v>194</v>
      </c>
      <c r="E467" t="s">
        <v>543</v>
      </c>
      <c r="F467" t="s">
        <v>580</v>
      </c>
      <c r="G467" t="s">
        <v>581</v>
      </c>
      <c r="H467" t="s">
        <v>582</v>
      </c>
      <c r="I467" t="s">
        <v>209</v>
      </c>
      <c r="J467" t="s">
        <v>176</v>
      </c>
      <c r="K467" s="30">
        <v>43032</v>
      </c>
      <c r="L467" s="8">
        <v>43030.972268518519</v>
      </c>
      <c r="M467" s="21">
        <f>LEN(ProjTextTable[[#This Row],[text]])</f>
        <v>2229</v>
      </c>
      <c r="N467" s="21">
        <f>LEN(TRIM(CLEAN(SUBSTITUTE(ProjTextTable[[#This Row],[text]],CHAR(10)," "))))+1 - LEN(SUBSTITUTE(CLEAN(SUBSTITUTE(ProjTextTable[[#This Row],[text]],CHAR(10)," "))," ",""))</f>
        <v>335</v>
      </c>
      <c r="O467" t="s">
        <v>202</v>
      </c>
      <c r="P467" t="s">
        <v>645</v>
      </c>
    </row>
    <row r="468" spans="1:16">
      <c r="A468">
        <f t="shared" si="7"/>
        <v>72</v>
      </c>
      <c r="B468" t="s">
        <v>639</v>
      </c>
      <c r="C468" t="s">
        <v>640</v>
      </c>
      <c r="D468" t="s">
        <v>196</v>
      </c>
      <c r="E468" t="s">
        <v>540</v>
      </c>
      <c r="F468" t="s">
        <v>13</v>
      </c>
      <c r="G468" t="s">
        <v>13</v>
      </c>
      <c r="H468" t="s">
        <v>13</v>
      </c>
      <c r="K468" s="30"/>
      <c r="L468" s="8">
        <v>42935.043379629627</v>
      </c>
      <c r="M468" s="21">
        <f>LEN(ProjTextTable[[#This Row],[text]])</f>
        <v>3644</v>
      </c>
      <c r="N468" s="21">
        <f>LEN(TRIM(CLEAN(SUBSTITUTE(ProjTextTable[[#This Row],[text]],CHAR(10)," "))))+1 - LEN(SUBSTITUTE(CLEAN(SUBSTITUTE(ProjTextTable[[#This Row],[text]],CHAR(10)," "))," ",""))</f>
        <v>477</v>
      </c>
      <c r="O468" t="s">
        <v>13</v>
      </c>
      <c r="P468" t="s">
        <v>646</v>
      </c>
    </row>
    <row r="469" spans="1:16">
      <c r="A469">
        <f t="shared" si="7"/>
        <v>73</v>
      </c>
      <c r="B469" t="s">
        <v>1560</v>
      </c>
      <c r="C469" t="s">
        <v>1561</v>
      </c>
      <c r="D469" t="s">
        <v>205</v>
      </c>
      <c r="E469" t="s">
        <v>543</v>
      </c>
      <c r="F469" t="s">
        <v>619</v>
      </c>
      <c r="G469" t="s">
        <v>620</v>
      </c>
      <c r="H469" t="s">
        <v>207</v>
      </c>
      <c r="I469" t="s">
        <v>197</v>
      </c>
      <c r="J469" t="s">
        <v>668</v>
      </c>
      <c r="K469" s="30">
        <v>43059</v>
      </c>
      <c r="L469" s="8"/>
      <c r="M469" s="21">
        <f>LEN(ProjTextTable[[#This Row],[text]])</f>
        <v>1930</v>
      </c>
      <c r="N469" s="21">
        <f>LEN(TRIM(CLEAN(SUBSTITUTE(ProjTextTable[[#This Row],[text]],CHAR(10)," "))))+1 - LEN(SUBSTITUTE(CLEAN(SUBSTITUTE(ProjTextTable[[#This Row],[text]],CHAR(10)," "))," ",""))</f>
        <v>282</v>
      </c>
      <c r="O469" t="s">
        <v>208</v>
      </c>
      <c r="P469" t="s">
        <v>1562</v>
      </c>
    </row>
    <row r="470" spans="1:16">
      <c r="A470">
        <f t="shared" si="7"/>
        <v>73</v>
      </c>
      <c r="B470" t="s">
        <v>1560</v>
      </c>
      <c r="C470" t="s">
        <v>1561</v>
      </c>
      <c r="D470" t="s">
        <v>194</v>
      </c>
      <c r="E470" t="s">
        <v>543</v>
      </c>
      <c r="F470" t="s">
        <v>1515</v>
      </c>
      <c r="G470" t="s">
        <v>1516</v>
      </c>
      <c r="H470" t="s">
        <v>1517</v>
      </c>
      <c r="I470" t="s">
        <v>209</v>
      </c>
      <c r="J470" t="s">
        <v>176</v>
      </c>
      <c r="K470" s="30">
        <v>43060</v>
      </c>
      <c r="L470" s="8">
        <v>43056.590636574074</v>
      </c>
      <c r="M470" s="21">
        <f>LEN(ProjTextTable[[#This Row],[text]])</f>
        <v>1525</v>
      </c>
      <c r="N470" s="21">
        <f>LEN(TRIM(CLEAN(SUBSTITUTE(ProjTextTable[[#This Row],[text]],CHAR(10)," "))))+1 - LEN(SUBSTITUTE(CLEAN(SUBSTITUTE(ProjTextTable[[#This Row],[text]],CHAR(10)," "))," ",""))</f>
        <v>225</v>
      </c>
      <c r="O470" t="s">
        <v>199</v>
      </c>
      <c r="P470" t="s">
        <v>1563</v>
      </c>
    </row>
    <row r="471" spans="1:16">
      <c r="A471">
        <f t="shared" si="7"/>
        <v>73</v>
      </c>
      <c r="B471" t="s">
        <v>1560</v>
      </c>
      <c r="C471" t="s">
        <v>1561</v>
      </c>
      <c r="D471" t="s">
        <v>194</v>
      </c>
      <c r="E471" t="s">
        <v>543</v>
      </c>
      <c r="F471" t="s">
        <v>1552</v>
      </c>
      <c r="G471" t="s">
        <v>1553</v>
      </c>
      <c r="H471" t="s">
        <v>1554</v>
      </c>
      <c r="I471" t="s">
        <v>209</v>
      </c>
      <c r="J471" t="s">
        <v>176</v>
      </c>
      <c r="K471" s="30">
        <v>43060</v>
      </c>
      <c r="L471" s="8">
        <v>43059.937245370369</v>
      </c>
      <c r="M471" s="21">
        <f>LEN(ProjTextTable[[#This Row],[text]])</f>
        <v>1545</v>
      </c>
      <c r="N471" s="21">
        <f>LEN(TRIM(CLEAN(SUBSTITUTE(ProjTextTable[[#This Row],[text]],CHAR(10)," "))))+1 - LEN(SUBSTITUTE(CLEAN(SUBSTITUTE(ProjTextTable[[#This Row],[text]],CHAR(10)," "))," ",""))</f>
        <v>235</v>
      </c>
      <c r="O471" t="s">
        <v>199</v>
      </c>
      <c r="P471" t="s">
        <v>1564</v>
      </c>
    </row>
    <row r="472" spans="1:16">
      <c r="A472">
        <f t="shared" si="7"/>
        <v>73</v>
      </c>
      <c r="B472" t="s">
        <v>1560</v>
      </c>
      <c r="C472" t="s">
        <v>1561</v>
      </c>
      <c r="D472" t="s">
        <v>194</v>
      </c>
      <c r="E472" t="s">
        <v>543</v>
      </c>
      <c r="F472" t="s">
        <v>1565</v>
      </c>
      <c r="G472" t="s">
        <v>1566</v>
      </c>
      <c r="H472" t="s">
        <v>1567</v>
      </c>
      <c r="I472" t="s">
        <v>209</v>
      </c>
      <c r="J472" t="s">
        <v>176</v>
      </c>
      <c r="K472" s="30">
        <v>43060</v>
      </c>
      <c r="L472" s="8">
        <v>43057.861631944441</v>
      </c>
      <c r="M472" s="21">
        <f>LEN(ProjTextTable[[#This Row],[text]])</f>
        <v>1619</v>
      </c>
      <c r="N472" s="21">
        <f>LEN(TRIM(CLEAN(SUBSTITUTE(ProjTextTable[[#This Row],[text]],CHAR(10)," "))))+1 - LEN(SUBSTITUTE(CLEAN(SUBSTITUTE(ProjTextTable[[#This Row],[text]],CHAR(10)," "))," ",""))</f>
        <v>236</v>
      </c>
      <c r="O472" t="s">
        <v>199</v>
      </c>
      <c r="P472" t="s">
        <v>1568</v>
      </c>
    </row>
    <row r="473" spans="1:16">
      <c r="A473">
        <f t="shared" si="7"/>
        <v>73</v>
      </c>
      <c r="B473" t="s">
        <v>1560</v>
      </c>
      <c r="C473" t="s">
        <v>1561</v>
      </c>
      <c r="D473" t="s">
        <v>194</v>
      </c>
      <c r="E473" t="s">
        <v>543</v>
      </c>
      <c r="F473" t="s">
        <v>1556</v>
      </c>
      <c r="G473" t="s">
        <v>1557</v>
      </c>
      <c r="H473" t="s">
        <v>1558</v>
      </c>
      <c r="I473" t="s">
        <v>209</v>
      </c>
      <c r="J473" t="s">
        <v>176</v>
      </c>
      <c r="K473" s="30">
        <v>43060</v>
      </c>
      <c r="L473" s="8">
        <v>43058.714618055557</v>
      </c>
      <c r="M473" s="21">
        <f>LEN(ProjTextTable[[#This Row],[text]])</f>
        <v>2214</v>
      </c>
      <c r="N473" s="21">
        <f>LEN(TRIM(CLEAN(SUBSTITUTE(ProjTextTable[[#This Row],[text]],CHAR(10)," "))))+1 - LEN(SUBSTITUTE(CLEAN(SUBSTITUTE(ProjTextTable[[#This Row],[text]],CHAR(10)," "))," ",""))</f>
        <v>343</v>
      </c>
      <c r="O473" t="s">
        <v>202</v>
      </c>
      <c r="P473" t="s">
        <v>1569</v>
      </c>
    </row>
    <row r="474" spans="1:16">
      <c r="A474">
        <f t="shared" si="7"/>
        <v>73</v>
      </c>
      <c r="B474" t="s">
        <v>1560</v>
      </c>
      <c r="C474" t="s">
        <v>1561</v>
      </c>
      <c r="D474" t="s">
        <v>196</v>
      </c>
      <c r="E474" t="s">
        <v>543</v>
      </c>
      <c r="F474" t="s">
        <v>13</v>
      </c>
      <c r="G474" t="s">
        <v>13</v>
      </c>
      <c r="H474" t="s">
        <v>13</v>
      </c>
      <c r="K474" s="30"/>
      <c r="L474" s="8">
        <v>42935.043495370373</v>
      </c>
      <c r="M474" s="21">
        <f>LEN(ProjTextTable[[#This Row],[text]])</f>
        <v>4562</v>
      </c>
      <c r="N474" s="21">
        <f>LEN(TRIM(CLEAN(SUBSTITUTE(ProjTextTable[[#This Row],[text]],CHAR(10)," "))))+1 - LEN(SUBSTITUTE(CLEAN(SUBSTITUTE(ProjTextTable[[#This Row],[text]],CHAR(10)," "))," ",""))</f>
        <v>683</v>
      </c>
      <c r="O474" t="s">
        <v>13</v>
      </c>
      <c r="P474" t="s">
        <v>1570</v>
      </c>
    </row>
    <row r="475" spans="1:16">
      <c r="A475">
        <f t="shared" si="7"/>
        <v>74</v>
      </c>
      <c r="B475" t="s">
        <v>647</v>
      </c>
      <c r="C475" t="s">
        <v>648</v>
      </c>
      <c r="D475" t="s">
        <v>205</v>
      </c>
      <c r="E475" t="s">
        <v>543</v>
      </c>
      <c r="F475" t="s">
        <v>544</v>
      </c>
      <c r="G475" t="s">
        <v>545</v>
      </c>
      <c r="H475" t="s">
        <v>249</v>
      </c>
      <c r="I475" t="s">
        <v>193</v>
      </c>
      <c r="J475" t="s">
        <v>566</v>
      </c>
      <c r="K475" s="30">
        <v>43031</v>
      </c>
      <c r="L475" s="8"/>
      <c r="M475" s="21">
        <f>LEN(ProjTextTable[[#This Row],[text]])</f>
        <v>4104</v>
      </c>
      <c r="N475" s="21">
        <f>LEN(TRIM(CLEAN(SUBSTITUTE(ProjTextTable[[#This Row],[text]],CHAR(10)," "))))+1 - LEN(SUBSTITUTE(CLEAN(SUBSTITUTE(ProjTextTable[[#This Row],[text]],CHAR(10)," "))," ",""))</f>
        <v>658</v>
      </c>
      <c r="O475" t="s">
        <v>248</v>
      </c>
      <c r="P475" t="s">
        <v>649</v>
      </c>
    </row>
    <row r="476" spans="1:16">
      <c r="A476">
        <f t="shared" si="7"/>
        <v>74</v>
      </c>
      <c r="B476" t="s">
        <v>647</v>
      </c>
      <c r="C476" t="s">
        <v>648</v>
      </c>
      <c r="D476" t="s">
        <v>194</v>
      </c>
      <c r="E476" t="s">
        <v>543</v>
      </c>
      <c r="F476" t="s">
        <v>650</v>
      </c>
      <c r="G476" t="s">
        <v>651</v>
      </c>
      <c r="H476" t="s">
        <v>652</v>
      </c>
      <c r="I476" t="s">
        <v>209</v>
      </c>
      <c r="J476" t="s">
        <v>176</v>
      </c>
      <c r="K476" s="30">
        <v>43032</v>
      </c>
      <c r="L476" s="8">
        <v>43030.876967592594</v>
      </c>
      <c r="M476" s="21">
        <f>LEN(ProjTextTable[[#This Row],[text]])</f>
        <v>2807</v>
      </c>
      <c r="N476" s="21">
        <f>LEN(TRIM(CLEAN(SUBSTITUTE(ProjTextTable[[#This Row],[text]],CHAR(10)," "))))+1 - LEN(SUBSTITUTE(CLEAN(SUBSTITUTE(ProjTextTable[[#This Row],[text]],CHAR(10)," "))," ",""))</f>
        <v>427</v>
      </c>
      <c r="O476" t="s">
        <v>195</v>
      </c>
      <c r="P476" t="s">
        <v>653</v>
      </c>
    </row>
    <row r="477" spans="1:16">
      <c r="A477">
        <f t="shared" si="7"/>
        <v>74</v>
      </c>
      <c r="B477" t="s">
        <v>647</v>
      </c>
      <c r="C477" t="s">
        <v>648</v>
      </c>
      <c r="D477" t="s">
        <v>194</v>
      </c>
      <c r="E477" t="s">
        <v>543</v>
      </c>
      <c r="F477" t="s">
        <v>548</v>
      </c>
      <c r="G477" t="s">
        <v>549</v>
      </c>
      <c r="H477" t="s">
        <v>550</v>
      </c>
      <c r="I477" t="s">
        <v>209</v>
      </c>
      <c r="J477" t="s">
        <v>176</v>
      </c>
      <c r="K477" s="30">
        <v>43032</v>
      </c>
      <c r="L477" s="8">
        <v>43031.922314814816</v>
      </c>
      <c r="M477" s="21">
        <f>LEN(ProjTextTable[[#This Row],[text]])</f>
        <v>2190</v>
      </c>
      <c r="N477" s="21">
        <f>LEN(TRIM(CLEAN(SUBSTITUTE(ProjTextTable[[#This Row],[text]],CHAR(10)," "))))+1 - LEN(SUBSTITUTE(CLEAN(SUBSTITUTE(ProjTextTable[[#This Row],[text]],CHAR(10)," "))," ",""))</f>
        <v>339</v>
      </c>
      <c r="O477" t="s">
        <v>195</v>
      </c>
      <c r="P477" t="s">
        <v>654</v>
      </c>
    </row>
    <row r="478" spans="1:16">
      <c r="A478">
        <f t="shared" si="7"/>
        <v>74</v>
      </c>
      <c r="B478" t="s">
        <v>647</v>
      </c>
      <c r="C478" t="s">
        <v>648</v>
      </c>
      <c r="D478" t="s">
        <v>194</v>
      </c>
      <c r="E478" t="s">
        <v>543</v>
      </c>
      <c r="F478" t="s">
        <v>606</v>
      </c>
      <c r="G478" t="s">
        <v>607</v>
      </c>
      <c r="H478" t="s">
        <v>608</v>
      </c>
      <c r="I478" t="s">
        <v>209</v>
      </c>
      <c r="J478" t="s">
        <v>176</v>
      </c>
      <c r="K478" s="30">
        <v>43032</v>
      </c>
      <c r="L478" s="8">
        <v>43031.043321759258</v>
      </c>
      <c r="M478" s="21">
        <f>LEN(ProjTextTable[[#This Row],[text]])</f>
        <v>1763</v>
      </c>
      <c r="N478" s="21">
        <f>LEN(TRIM(CLEAN(SUBSTITUTE(ProjTextTable[[#This Row],[text]],CHAR(10)," "))))+1 - LEN(SUBSTITUTE(CLEAN(SUBSTITUTE(ProjTextTable[[#This Row],[text]],CHAR(10)," "))," ",""))</f>
        <v>263</v>
      </c>
      <c r="O478" t="s">
        <v>201</v>
      </c>
      <c r="P478" t="s">
        <v>655</v>
      </c>
    </row>
    <row r="479" spans="1:16">
      <c r="A479">
        <f t="shared" si="7"/>
        <v>74</v>
      </c>
      <c r="B479" t="s">
        <v>647</v>
      </c>
      <c r="C479" t="s">
        <v>648</v>
      </c>
      <c r="D479" t="s">
        <v>194</v>
      </c>
      <c r="E479" t="s">
        <v>543</v>
      </c>
      <c r="F479" t="s">
        <v>612</v>
      </c>
      <c r="G479" t="s">
        <v>613</v>
      </c>
      <c r="H479" t="s">
        <v>614</v>
      </c>
      <c r="I479" t="s">
        <v>209</v>
      </c>
      <c r="J479" t="s">
        <v>176</v>
      </c>
      <c r="K479" s="30">
        <v>43032</v>
      </c>
      <c r="L479" s="8">
        <v>43030.827002314814</v>
      </c>
      <c r="M479" s="21">
        <f>LEN(ProjTextTable[[#This Row],[text]])</f>
        <v>2352</v>
      </c>
      <c r="N479" s="21">
        <f>LEN(TRIM(CLEAN(SUBSTITUTE(ProjTextTable[[#This Row],[text]],CHAR(10)," "))))+1 - LEN(SUBSTITUTE(CLEAN(SUBSTITUTE(ProjTextTable[[#This Row],[text]],CHAR(10)," "))," ",""))</f>
        <v>363</v>
      </c>
      <c r="O479" t="s">
        <v>195</v>
      </c>
      <c r="P479" t="s">
        <v>656</v>
      </c>
    </row>
    <row r="480" spans="1:16">
      <c r="A480">
        <f t="shared" si="7"/>
        <v>74</v>
      </c>
      <c r="B480" t="s">
        <v>647</v>
      </c>
      <c r="C480" t="s">
        <v>648</v>
      </c>
      <c r="D480" t="s">
        <v>196</v>
      </c>
      <c r="E480" t="s">
        <v>543</v>
      </c>
      <c r="F480" t="s">
        <v>13</v>
      </c>
      <c r="G480" t="s">
        <v>13</v>
      </c>
      <c r="H480" t="s">
        <v>13</v>
      </c>
      <c r="K480" s="30"/>
      <c r="L480" s="8">
        <v>42935.043506944443</v>
      </c>
      <c r="M480" s="21">
        <f>LEN(ProjTextTable[[#This Row],[text]])</f>
        <v>2691</v>
      </c>
      <c r="N480" s="21">
        <f>LEN(TRIM(CLEAN(SUBSTITUTE(ProjTextTable[[#This Row],[text]],CHAR(10)," "))))+1 - LEN(SUBSTITUTE(CLEAN(SUBSTITUTE(ProjTextTable[[#This Row],[text]],CHAR(10)," "))," ",""))</f>
        <v>364</v>
      </c>
      <c r="O480" t="s">
        <v>13</v>
      </c>
      <c r="P480" t="s">
        <v>657</v>
      </c>
    </row>
    <row r="481" spans="1:16">
      <c r="A481">
        <f t="shared" si="7"/>
        <v>75</v>
      </c>
      <c r="B481" t="s">
        <v>1571</v>
      </c>
      <c r="C481" t="s">
        <v>1572</v>
      </c>
      <c r="D481" t="s">
        <v>205</v>
      </c>
      <c r="E481" t="s">
        <v>543</v>
      </c>
      <c r="F481" t="s">
        <v>619</v>
      </c>
      <c r="G481" t="s">
        <v>620</v>
      </c>
      <c r="H481" t="s">
        <v>365</v>
      </c>
      <c r="I481" t="s">
        <v>200</v>
      </c>
      <c r="J481" t="s">
        <v>1573</v>
      </c>
      <c r="K481" s="30">
        <v>43059</v>
      </c>
      <c r="L481" s="8">
        <v>43075.7190162037</v>
      </c>
      <c r="M481" s="21">
        <f>LEN(ProjTextTable[[#This Row],[text]])</f>
        <v>3635</v>
      </c>
      <c r="N481" s="21">
        <f>LEN(TRIM(CLEAN(SUBSTITUTE(ProjTextTable[[#This Row],[text]],CHAR(10)," "))))+1 - LEN(SUBSTITUTE(CLEAN(SUBSTITUTE(ProjTextTable[[#This Row],[text]],CHAR(10)," "))," ",""))</f>
        <v>530</v>
      </c>
      <c r="O481" t="s">
        <v>344</v>
      </c>
      <c r="P481" t="s">
        <v>1574</v>
      </c>
    </row>
    <row r="482" spans="1:16">
      <c r="A482">
        <f t="shared" si="7"/>
        <v>75</v>
      </c>
      <c r="B482" t="s">
        <v>1571</v>
      </c>
      <c r="C482" t="s">
        <v>1572</v>
      </c>
      <c r="D482" t="s">
        <v>205</v>
      </c>
      <c r="E482" t="s">
        <v>1575</v>
      </c>
      <c r="F482" t="s">
        <v>1576</v>
      </c>
      <c r="G482" t="s">
        <v>1577</v>
      </c>
      <c r="H482" t="s">
        <v>249</v>
      </c>
      <c r="I482" t="s">
        <v>193</v>
      </c>
      <c r="K482" s="30">
        <v>43060</v>
      </c>
      <c r="L482" s="8"/>
      <c r="M482" s="21">
        <f>LEN(ProjTextTable[[#This Row],[text]])</f>
        <v>3573</v>
      </c>
      <c r="N482" s="21">
        <f>LEN(TRIM(CLEAN(SUBSTITUTE(ProjTextTable[[#This Row],[text]],CHAR(10)," "))))+1 - LEN(SUBSTITUTE(CLEAN(SUBSTITUTE(ProjTextTable[[#This Row],[text]],CHAR(10)," "))," ",""))</f>
        <v>515</v>
      </c>
      <c r="O482" t="s">
        <v>248</v>
      </c>
      <c r="P482" t="s">
        <v>1578</v>
      </c>
    </row>
    <row r="483" spans="1:16">
      <c r="A483">
        <f t="shared" si="7"/>
        <v>75</v>
      </c>
      <c r="B483" t="s">
        <v>1571</v>
      </c>
      <c r="C483" t="s">
        <v>1572</v>
      </c>
      <c r="D483" t="s">
        <v>194</v>
      </c>
      <c r="E483" t="s">
        <v>543</v>
      </c>
      <c r="F483" t="s">
        <v>1579</v>
      </c>
      <c r="G483" t="s">
        <v>1580</v>
      </c>
      <c r="H483" t="s">
        <v>1581</v>
      </c>
      <c r="I483" t="s">
        <v>209</v>
      </c>
      <c r="J483" t="s">
        <v>176</v>
      </c>
      <c r="K483" s="30">
        <v>43060</v>
      </c>
      <c r="L483" s="8">
        <v>43056.597870370373</v>
      </c>
      <c r="M483" s="21">
        <f>LEN(ProjTextTable[[#This Row],[text]])</f>
        <v>4136</v>
      </c>
      <c r="N483" s="21">
        <f>LEN(TRIM(CLEAN(SUBSTITUTE(ProjTextTable[[#This Row],[text]],CHAR(10)," "))))+1 - LEN(SUBSTITUTE(CLEAN(SUBSTITUTE(ProjTextTable[[#This Row],[text]],CHAR(10)," "))," ",""))</f>
        <v>648</v>
      </c>
      <c r="O483" t="s">
        <v>195</v>
      </c>
      <c r="P483" t="s">
        <v>1582</v>
      </c>
    </row>
    <row r="484" spans="1:16">
      <c r="A484">
        <f t="shared" si="7"/>
        <v>75</v>
      </c>
      <c r="B484" t="s">
        <v>1571</v>
      </c>
      <c r="C484" t="s">
        <v>1572</v>
      </c>
      <c r="D484" t="s">
        <v>194</v>
      </c>
      <c r="E484" t="s">
        <v>1530</v>
      </c>
      <c r="F484" t="s">
        <v>630</v>
      </c>
      <c r="G484" t="s">
        <v>631</v>
      </c>
      <c r="H484" t="s">
        <v>632</v>
      </c>
      <c r="I484" t="s">
        <v>209</v>
      </c>
      <c r="J484" t="s">
        <v>176</v>
      </c>
      <c r="K484" s="30">
        <v>43060</v>
      </c>
      <c r="L484" s="8">
        <v>43054.539270833331</v>
      </c>
      <c r="M484" s="21">
        <f>LEN(ProjTextTable[[#This Row],[text]])</f>
        <v>2267</v>
      </c>
      <c r="N484" s="21">
        <f>LEN(TRIM(CLEAN(SUBSTITUTE(ProjTextTable[[#This Row],[text]],CHAR(10)," "))))+1 - LEN(SUBSTITUTE(CLEAN(SUBSTITUTE(ProjTextTable[[#This Row],[text]],CHAR(10)," "))," ",""))</f>
        <v>348</v>
      </c>
      <c r="O484" t="s">
        <v>195</v>
      </c>
      <c r="P484" t="s">
        <v>1583</v>
      </c>
    </row>
    <row r="485" spans="1:16">
      <c r="A485">
        <f t="shared" si="7"/>
        <v>75</v>
      </c>
      <c r="B485" t="s">
        <v>1571</v>
      </c>
      <c r="C485" t="s">
        <v>1572</v>
      </c>
      <c r="D485" t="s">
        <v>194</v>
      </c>
      <c r="E485" t="s">
        <v>1530</v>
      </c>
      <c r="F485" t="s">
        <v>1584</v>
      </c>
      <c r="G485" t="s">
        <v>1585</v>
      </c>
      <c r="H485" t="s">
        <v>1586</v>
      </c>
      <c r="I485" t="s">
        <v>209</v>
      </c>
      <c r="J485" t="s">
        <v>176</v>
      </c>
      <c r="K485" s="30">
        <v>43060</v>
      </c>
      <c r="L485" s="8">
        <v>43059.579641203702</v>
      </c>
      <c r="M485" s="21">
        <f>LEN(ProjTextTable[[#This Row],[text]])</f>
        <v>2791</v>
      </c>
      <c r="N485" s="21">
        <f>LEN(TRIM(CLEAN(SUBSTITUTE(ProjTextTable[[#This Row],[text]],CHAR(10)," "))))+1 - LEN(SUBSTITUTE(CLEAN(SUBSTITUTE(ProjTextTable[[#This Row],[text]],CHAR(10)," "))," ",""))</f>
        <v>401</v>
      </c>
      <c r="O485" t="s">
        <v>203</v>
      </c>
      <c r="P485" t="s">
        <v>1587</v>
      </c>
    </row>
    <row r="486" spans="1:16">
      <c r="A486">
        <f t="shared" si="7"/>
        <v>75</v>
      </c>
      <c r="B486" t="s">
        <v>1571</v>
      </c>
      <c r="C486" t="s">
        <v>1572</v>
      </c>
      <c r="D486" t="s">
        <v>194</v>
      </c>
      <c r="E486" t="s">
        <v>1530</v>
      </c>
      <c r="F486" t="s">
        <v>1588</v>
      </c>
      <c r="G486" t="s">
        <v>1589</v>
      </c>
      <c r="H486" t="s">
        <v>1590</v>
      </c>
      <c r="I486" t="s">
        <v>209</v>
      </c>
      <c r="J486" t="s">
        <v>176</v>
      </c>
      <c r="K486" s="30">
        <v>43060</v>
      </c>
      <c r="L486" s="8">
        <v>43059.76116898148</v>
      </c>
      <c r="M486" s="21">
        <f>LEN(ProjTextTable[[#This Row],[text]])</f>
        <v>5836</v>
      </c>
      <c r="N486" s="21">
        <f>LEN(TRIM(CLEAN(SUBSTITUTE(ProjTextTable[[#This Row],[text]],CHAR(10)," "))))+1 - LEN(SUBSTITUTE(CLEAN(SUBSTITUTE(ProjTextTable[[#This Row],[text]],CHAR(10)," "))," ",""))</f>
        <v>807</v>
      </c>
      <c r="O486" t="s">
        <v>199</v>
      </c>
      <c r="P486" t="s">
        <v>1591</v>
      </c>
    </row>
    <row r="487" spans="1:16">
      <c r="A487">
        <f t="shared" si="7"/>
        <v>75</v>
      </c>
      <c r="B487" t="s">
        <v>1571</v>
      </c>
      <c r="C487" t="s">
        <v>1572</v>
      </c>
      <c r="D487" t="s">
        <v>194</v>
      </c>
      <c r="E487" t="s">
        <v>543</v>
      </c>
      <c r="F487" t="s">
        <v>634</v>
      </c>
      <c r="G487" t="s">
        <v>635</v>
      </c>
      <c r="H487" t="s">
        <v>636</v>
      </c>
      <c r="I487" t="s">
        <v>209</v>
      </c>
      <c r="J487" t="s">
        <v>176</v>
      </c>
      <c r="K487" s="30">
        <v>43060</v>
      </c>
      <c r="L487" s="8">
        <v>43056.705740740741</v>
      </c>
      <c r="M487" s="21">
        <f>LEN(ProjTextTable[[#This Row],[text]])</f>
        <v>5069</v>
      </c>
      <c r="N487" s="21">
        <f>LEN(TRIM(CLEAN(SUBSTITUTE(ProjTextTable[[#This Row],[text]],CHAR(10)," "))))+1 - LEN(SUBSTITUTE(CLEAN(SUBSTITUTE(ProjTextTable[[#This Row],[text]],CHAR(10)," "))," ",""))</f>
        <v>779</v>
      </c>
      <c r="O487" t="s">
        <v>195</v>
      </c>
      <c r="P487" t="s">
        <v>1592</v>
      </c>
    </row>
    <row r="488" spans="1:16">
      <c r="A488">
        <f t="shared" si="7"/>
        <v>75</v>
      </c>
      <c r="B488" t="s">
        <v>1571</v>
      </c>
      <c r="C488" t="s">
        <v>1572</v>
      </c>
      <c r="D488" t="s">
        <v>194</v>
      </c>
      <c r="E488" t="s">
        <v>1575</v>
      </c>
      <c r="F488" t="s">
        <v>1593</v>
      </c>
      <c r="G488" t="s">
        <v>1594</v>
      </c>
      <c r="H488" t="s">
        <v>1595</v>
      </c>
      <c r="I488" t="s">
        <v>176</v>
      </c>
      <c r="J488" t="s">
        <v>176</v>
      </c>
      <c r="K488" s="30">
        <v>43035</v>
      </c>
      <c r="L488" s="8">
        <v>43037.776643518519</v>
      </c>
      <c r="M488" s="21">
        <f>LEN(ProjTextTable[[#This Row],[text]])</f>
        <v>4908</v>
      </c>
      <c r="N488" s="21">
        <f>LEN(TRIM(CLEAN(SUBSTITUTE(ProjTextTable[[#This Row],[text]],CHAR(10)," "))))+1 - LEN(SUBSTITUTE(CLEAN(SUBSTITUTE(ProjTextTable[[#This Row],[text]],CHAR(10)," "))," ",""))</f>
        <v>778</v>
      </c>
      <c r="O488" t="s">
        <v>195</v>
      </c>
      <c r="P488" t="s">
        <v>1596</v>
      </c>
    </row>
    <row r="489" spans="1:16">
      <c r="A489">
        <f t="shared" si="7"/>
        <v>75</v>
      </c>
      <c r="B489" t="s">
        <v>1571</v>
      </c>
      <c r="C489" t="s">
        <v>1572</v>
      </c>
      <c r="D489" t="s">
        <v>194</v>
      </c>
      <c r="E489" t="s">
        <v>1530</v>
      </c>
      <c r="F489" t="s">
        <v>1597</v>
      </c>
      <c r="G489" t="s">
        <v>1598</v>
      </c>
      <c r="H489" t="s">
        <v>1599</v>
      </c>
      <c r="I489" t="s">
        <v>209</v>
      </c>
      <c r="J489" t="s">
        <v>176</v>
      </c>
      <c r="K489" s="30">
        <v>43060</v>
      </c>
      <c r="L489" s="8">
        <v>43059.627106481479</v>
      </c>
      <c r="M489" s="21">
        <f>LEN(ProjTextTable[[#This Row],[text]])</f>
        <v>5209</v>
      </c>
      <c r="N489" s="21">
        <f>LEN(TRIM(CLEAN(SUBSTITUTE(ProjTextTable[[#This Row],[text]],CHAR(10)," "))))+1 - LEN(SUBSTITUTE(CLEAN(SUBSTITUTE(ProjTextTable[[#This Row],[text]],CHAR(10)," "))," ",""))</f>
        <v>822</v>
      </c>
      <c r="O489" t="s">
        <v>203</v>
      </c>
      <c r="P489" t="s">
        <v>1600</v>
      </c>
    </row>
    <row r="490" spans="1:16">
      <c r="A490">
        <f t="shared" si="7"/>
        <v>75</v>
      </c>
      <c r="B490" t="s">
        <v>1571</v>
      </c>
      <c r="C490" t="s">
        <v>1572</v>
      </c>
      <c r="D490" t="s">
        <v>194</v>
      </c>
      <c r="E490" t="s">
        <v>543</v>
      </c>
      <c r="F490" t="s">
        <v>1515</v>
      </c>
      <c r="G490" t="s">
        <v>1516</v>
      </c>
      <c r="H490" t="s">
        <v>1517</v>
      </c>
      <c r="I490" t="s">
        <v>209</v>
      </c>
      <c r="J490" t="s">
        <v>176</v>
      </c>
      <c r="K490" s="30">
        <v>43060</v>
      </c>
      <c r="L490" s="8">
        <v>43056.787835648145</v>
      </c>
      <c r="M490" s="21">
        <f>LEN(ProjTextTable[[#This Row],[text]])</f>
        <v>1195</v>
      </c>
      <c r="N490" s="21">
        <f>LEN(TRIM(CLEAN(SUBSTITUTE(ProjTextTable[[#This Row],[text]],CHAR(10)," "))))+1 - LEN(SUBSTITUTE(CLEAN(SUBSTITUTE(ProjTextTable[[#This Row],[text]],CHAR(10)," "))," ",""))</f>
        <v>178</v>
      </c>
      <c r="O490" t="s">
        <v>201</v>
      </c>
      <c r="P490" t="s">
        <v>1601</v>
      </c>
    </row>
    <row r="491" spans="1:16">
      <c r="A491">
        <f t="shared" si="7"/>
        <v>75</v>
      </c>
      <c r="B491" t="s">
        <v>1571</v>
      </c>
      <c r="C491" t="s">
        <v>1572</v>
      </c>
      <c r="D491" t="s">
        <v>194</v>
      </c>
      <c r="E491" t="s">
        <v>1530</v>
      </c>
      <c r="F491" t="s">
        <v>1602</v>
      </c>
      <c r="G491" t="s">
        <v>1603</v>
      </c>
      <c r="H491" t="s">
        <v>1604</v>
      </c>
      <c r="I491" t="s">
        <v>209</v>
      </c>
      <c r="J491" t="s">
        <v>176</v>
      </c>
      <c r="K491" s="30">
        <v>43060</v>
      </c>
      <c r="L491" s="8">
        <v>43059.886759259258</v>
      </c>
      <c r="M491" s="21">
        <f>LEN(ProjTextTable[[#This Row],[text]])</f>
        <v>2301</v>
      </c>
      <c r="N491" s="21">
        <f>LEN(TRIM(CLEAN(SUBSTITUTE(ProjTextTable[[#This Row],[text]],CHAR(10)," "))))+1 - LEN(SUBSTITUTE(CLEAN(SUBSTITUTE(ProjTextTable[[#This Row],[text]],CHAR(10)," "))," ",""))</f>
        <v>335</v>
      </c>
      <c r="O491" t="s">
        <v>203</v>
      </c>
      <c r="P491" t="s">
        <v>1605</v>
      </c>
    </row>
    <row r="492" spans="1:16">
      <c r="A492">
        <f t="shared" si="7"/>
        <v>75</v>
      </c>
      <c r="B492" t="s">
        <v>1571</v>
      </c>
      <c r="C492" t="s">
        <v>1572</v>
      </c>
      <c r="D492" t="s">
        <v>196</v>
      </c>
      <c r="E492" t="s">
        <v>1530</v>
      </c>
      <c r="F492" t="s">
        <v>13</v>
      </c>
      <c r="G492" t="s">
        <v>13</v>
      </c>
      <c r="H492" t="s">
        <v>13</v>
      </c>
      <c r="K492" s="30"/>
      <c r="L492" s="8">
        <v>42935.043599537035</v>
      </c>
      <c r="M492" s="21">
        <f>LEN(ProjTextTable[[#This Row],[text]])</f>
        <v>3533</v>
      </c>
      <c r="N492" s="21">
        <f>LEN(TRIM(CLEAN(SUBSTITUTE(ProjTextTable[[#This Row],[text]],CHAR(10)," "))))+1 - LEN(SUBSTITUTE(CLEAN(SUBSTITUTE(ProjTextTable[[#This Row],[text]],CHAR(10)," "))," ",""))</f>
        <v>480</v>
      </c>
      <c r="O492" t="s">
        <v>13</v>
      </c>
      <c r="P492" t="s">
        <v>1606</v>
      </c>
    </row>
    <row r="493" spans="1:16">
      <c r="A493">
        <f t="shared" si="7"/>
        <v>76</v>
      </c>
      <c r="B493" t="s">
        <v>658</v>
      </c>
      <c r="C493" t="s">
        <v>659</v>
      </c>
      <c r="D493" t="s">
        <v>205</v>
      </c>
      <c r="E493" t="s">
        <v>543</v>
      </c>
      <c r="F493" t="s">
        <v>544</v>
      </c>
      <c r="G493" t="s">
        <v>545</v>
      </c>
      <c r="H493" t="s">
        <v>365</v>
      </c>
      <c r="I493" t="s">
        <v>200</v>
      </c>
      <c r="J493" t="s">
        <v>546</v>
      </c>
      <c r="K493" s="30">
        <v>43031</v>
      </c>
      <c r="L493" s="8"/>
      <c r="M493" s="21">
        <f>LEN(ProjTextTable[[#This Row],[text]])</f>
        <v>2254</v>
      </c>
      <c r="N493" s="21">
        <f>LEN(TRIM(CLEAN(SUBSTITUTE(ProjTextTable[[#This Row],[text]],CHAR(10)," "))))+1 - LEN(SUBSTITUTE(CLEAN(SUBSTITUTE(ProjTextTable[[#This Row],[text]],CHAR(10)," "))," ",""))</f>
        <v>326</v>
      </c>
      <c r="O493" t="s">
        <v>344</v>
      </c>
      <c r="P493" t="s">
        <v>660</v>
      </c>
    </row>
    <row r="494" spans="1:16">
      <c r="A494">
        <f t="shared" si="7"/>
        <v>76</v>
      </c>
      <c r="B494" t="s">
        <v>658</v>
      </c>
      <c r="C494" t="s">
        <v>659</v>
      </c>
      <c r="D494" t="s">
        <v>2</v>
      </c>
      <c r="E494" t="s">
        <v>540</v>
      </c>
      <c r="F494" t="s">
        <v>13</v>
      </c>
      <c r="G494" t="s">
        <v>925</v>
      </c>
      <c r="H494" t="s">
        <v>13</v>
      </c>
      <c r="I494" t="s">
        <v>13</v>
      </c>
      <c r="K494" s="30"/>
      <c r="L494" s="8">
        <v>43076.609027777777</v>
      </c>
      <c r="M494" s="21">
        <f>LEN(ProjTextTable[[#This Row],[text]])</f>
        <v>2038</v>
      </c>
      <c r="N494" s="21">
        <f>LEN(TRIM(CLEAN(SUBSTITUTE(ProjTextTable[[#This Row],[text]],CHAR(10)," "))))+1 - LEN(SUBSTITUTE(CLEAN(SUBSTITUTE(ProjTextTable[[#This Row],[text]],CHAR(10)," "))," ",""))</f>
        <v>295</v>
      </c>
      <c r="O494" t="s">
        <v>13</v>
      </c>
      <c r="P494" t="s">
        <v>1607</v>
      </c>
    </row>
    <row r="495" spans="1:16">
      <c r="A495">
        <f t="shared" si="7"/>
        <v>76</v>
      </c>
      <c r="B495" t="s">
        <v>658</v>
      </c>
      <c r="C495" t="s">
        <v>659</v>
      </c>
      <c r="D495" t="s">
        <v>194</v>
      </c>
      <c r="E495" t="s">
        <v>543</v>
      </c>
      <c r="F495" t="s">
        <v>650</v>
      </c>
      <c r="G495" t="s">
        <v>651</v>
      </c>
      <c r="H495" t="s">
        <v>652</v>
      </c>
      <c r="I495" t="s">
        <v>209</v>
      </c>
      <c r="J495" t="s">
        <v>176</v>
      </c>
      <c r="K495" s="30">
        <v>43032</v>
      </c>
      <c r="L495" s="8">
        <v>43030.872187499997</v>
      </c>
      <c r="M495" s="21">
        <f>LEN(ProjTextTable[[#This Row],[text]])</f>
        <v>2046</v>
      </c>
      <c r="N495" s="21">
        <f>LEN(TRIM(CLEAN(SUBSTITUTE(ProjTextTable[[#This Row],[text]],CHAR(10)," "))))+1 - LEN(SUBSTITUTE(CLEAN(SUBSTITUTE(ProjTextTable[[#This Row],[text]],CHAR(10)," "))," ",""))</f>
        <v>322</v>
      </c>
      <c r="O495" t="s">
        <v>201</v>
      </c>
      <c r="P495" t="s">
        <v>661</v>
      </c>
    </row>
    <row r="496" spans="1:16">
      <c r="A496">
        <f t="shared" si="7"/>
        <v>76</v>
      </c>
      <c r="B496" t="s">
        <v>658</v>
      </c>
      <c r="C496" t="s">
        <v>659</v>
      </c>
      <c r="D496" t="s">
        <v>194</v>
      </c>
      <c r="E496" t="s">
        <v>543</v>
      </c>
      <c r="F496" t="s">
        <v>548</v>
      </c>
      <c r="G496" t="s">
        <v>549</v>
      </c>
      <c r="H496" t="s">
        <v>550</v>
      </c>
      <c r="I496" t="s">
        <v>209</v>
      </c>
      <c r="J496" t="s">
        <v>176</v>
      </c>
      <c r="K496" s="30">
        <v>43032</v>
      </c>
      <c r="L496" s="8">
        <v>43031.584618055553</v>
      </c>
      <c r="M496" s="21">
        <f>LEN(ProjTextTable[[#This Row],[text]])</f>
        <v>4713</v>
      </c>
      <c r="N496" s="21">
        <f>LEN(TRIM(CLEAN(SUBSTITUTE(ProjTextTable[[#This Row],[text]],CHAR(10)," "))))+1 - LEN(SUBSTITUTE(CLEAN(SUBSTITUTE(ProjTextTable[[#This Row],[text]],CHAR(10)," "))," ",""))</f>
        <v>751</v>
      </c>
      <c r="O496" t="s">
        <v>199</v>
      </c>
      <c r="P496" t="s">
        <v>662</v>
      </c>
    </row>
    <row r="497" spans="1:16">
      <c r="A497">
        <f t="shared" si="7"/>
        <v>76</v>
      </c>
      <c r="B497" t="s">
        <v>658</v>
      </c>
      <c r="C497" t="s">
        <v>659</v>
      </c>
      <c r="D497" t="s">
        <v>194</v>
      </c>
      <c r="E497" t="s">
        <v>543</v>
      </c>
      <c r="F497" t="s">
        <v>606</v>
      </c>
      <c r="G497" t="s">
        <v>607</v>
      </c>
      <c r="H497" t="s">
        <v>608</v>
      </c>
      <c r="I497" t="s">
        <v>209</v>
      </c>
      <c r="J497" t="s">
        <v>176</v>
      </c>
      <c r="K497" s="30">
        <v>43032</v>
      </c>
      <c r="L497" s="8">
        <v>43030.765972222223</v>
      </c>
      <c r="M497" s="21">
        <f>LEN(ProjTextTable[[#This Row],[text]])</f>
        <v>1991</v>
      </c>
      <c r="N497" s="21">
        <f>LEN(TRIM(CLEAN(SUBSTITUTE(ProjTextTable[[#This Row],[text]],CHAR(10)," "))))+1 - LEN(SUBSTITUTE(CLEAN(SUBSTITUTE(ProjTextTable[[#This Row],[text]],CHAR(10)," "))," ",""))</f>
        <v>301</v>
      </c>
      <c r="O497" t="s">
        <v>201</v>
      </c>
      <c r="P497" t="s">
        <v>663</v>
      </c>
    </row>
    <row r="498" spans="1:16">
      <c r="A498">
        <f t="shared" si="7"/>
        <v>76</v>
      </c>
      <c r="B498" t="s">
        <v>658</v>
      </c>
      <c r="C498" t="s">
        <v>659</v>
      </c>
      <c r="D498" t="s">
        <v>194</v>
      </c>
      <c r="E498" t="s">
        <v>543</v>
      </c>
      <c r="F498" t="s">
        <v>612</v>
      </c>
      <c r="G498" t="s">
        <v>613</v>
      </c>
      <c r="H498" t="s">
        <v>614</v>
      </c>
      <c r="I498" t="s">
        <v>209</v>
      </c>
      <c r="J498" t="s">
        <v>176</v>
      </c>
      <c r="K498" s="30">
        <v>43032</v>
      </c>
      <c r="L498" s="8">
        <v>43026.705312500002</v>
      </c>
      <c r="M498" s="21">
        <f>LEN(ProjTextTable[[#This Row],[text]])</f>
        <v>1527</v>
      </c>
      <c r="N498" s="21">
        <f>LEN(TRIM(CLEAN(SUBSTITUTE(ProjTextTable[[#This Row],[text]],CHAR(10)," "))))+1 - LEN(SUBSTITUTE(CLEAN(SUBSTITUTE(ProjTextTable[[#This Row],[text]],CHAR(10)," "))," ",""))</f>
        <v>224</v>
      </c>
      <c r="O498" t="s">
        <v>201</v>
      </c>
      <c r="P498" t="s">
        <v>664</v>
      </c>
    </row>
    <row r="499" spans="1:16">
      <c r="A499">
        <f t="shared" si="7"/>
        <v>76</v>
      </c>
      <c r="B499" t="s">
        <v>658</v>
      </c>
      <c r="C499" t="s">
        <v>659</v>
      </c>
      <c r="D499" t="s">
        <v>196</v>
      </c>
      <c r="E499" t="s">
        <v>540</v>
      </c>
      <c r="F499" t="s">
        <v>13</v>
      </c>
      <c r="G499" t="s">
        <v>13</v>
      </c>
      <c r="H499" t="s">
        <v>13</v>
      </c>
      <c r="K499" s="30"/>
      <c r="L499" s="8">
        <v>42935.043599537035</v>
      </c>
      <c r="M499" s="21">
        <f>LEN(ProjTextTable[[#This Row],[text]])</f>
        <v>4036</v>
      </c>
      <c r="N499" s="21">
        <f>LEN(TRIM(CLEAN(SUBSTITUTE(ProjTextTable[[#This Row],[text]],CHAR(10)," "))))+1 - LEN(SUBSTITUTE(CLEAN(SUBSTITUTE(ProjTextTable[[#This Row],[text]],CHAR(10)," "))," ",""))</f>
        <v>595</v>
      </c>
      <c r="O499" t="s">
        <v>13</v>
      </c>
      <c r="P499" t="s">
        <v>665</v>
      </c>
    </row>
    <row r="500" spans="1:16">
      <c r="A500">
        <f t="shared" si="7"/>
        <v>77</v>
      </c>
      <c r="B500" t="s">
        <v>1608</v>
      </c>
      <c r="C500" t="s">
        <v>1609</v>
      </c>
      <c r="D500" t="s">
        <v>205</v>
      </c>
      <c r="E500" t="s">
        <v>543</v>
      </c>
      <c r="F500" t="s">
        <v>544</v>
      </c>
      <c r="G500" t="s">
        <v>545</v>
      </c>
      <c r="H500" t="s">
        <v>249</v>
      </c>
      <c r="I500" t="s">
        <v>193</v>
      </c>
      <c r="J500" t="s">
        <v>566</v>
      </c>
      <c r="K500" s="30">
        <v>43031</v>
      </c>
      <c r="L500" s="8">
        <v>43075.718576388892</v>
      </c>
      <c r="M500" s="21">
        <f>LEN(ProjTextTable[[#This Row],[text]])</f>
        <v>3188</v>
      </c>
      <c r="N500" s="21">
        <f>LEN(TRIM(CLEAN(SUBSTITUTE(ProjTextTable[[#This Row],[text]],CHAR(10)," "))))+1 - LEN(SUBSTITUTE(CLEAN(SUBSTITUTE(ProjTextTable[[#This Row],[text]],CHAR(10)," "))," ",""))</f>
        <v>475</v>
      </c>
      <c r="O500" t="s">
        <v>248</v>
      </c>
      <c r="P500" t="s">
        <v>1610</v>
      </c>
    </row>
    <row r="501" spans="1:16">
      <c r="A501">
        <f t="shared" si="7"/>
        <v>77</v>
      </c>
      <c r="B501" t="s">
        <v>1608</v>
      </c>
      <c r="C501" t="s">
        <v>1609</v>
      </c>
      <c r="D501" t="s">
        <v>194</v>
      </c>
      <c r="E501" t="s">
        <v>543</v>
      </c>
      <c r="F501" t="s">
        <v>650</v>
      </c>
      <c r="G501" t="s">
        <v>651</v>
      </c>
      <c r="H501" t="s">
        <v>652</v>
      </c>
      <c r="I501" t="s">
        <v>209</v>
      </c>
      <c r="J501" t="s">
        <v>176</v>
      </c>
      <c r="K501" s="30">
        <v>43032</v>
      </c>
      <c r="L501" s="8">
        <v>43030.879699074074</v>
      </c>
      <c r="M501" s="21">
        <f>LEN(ProjTextTable[[#This Row],[text]])</f>
        <v>2801</v>
      </c>
      <c r="N501" s="21">
        <f>LEN(TRIM(CLEAN(SUBSTITUTE(ProjTextTable[[#This Row],[text]],CHAR(10)," "))))+1 - LEN(SUBSTITUTE(CLEAN(SUBSTITUTE(ProjTextTable[[#This Row],[text]],CHAR(10)," "))," ",""))</f>
        <v>432</v>
      </c>
      <c r="O501" t="s">
        <v>199</v>
      </c>
      <c r="P501" t="s">
        <v>1611</v>
      </c>
    </row>
    <row r="502" spans="1:16">
      <c r="A502">
        <f t="shared" si="7"/>
        <v>77</v>
      </c>
      <c r="B502" t="s">
        <v>1608</v>
      </c>
      <c r="C502" t="s">
        <v>1609</v>
      </c>
      <c r="D502" t="s">
        <v>194</v>
      </c>
      <c r="E502" t="s">
        <v>543</v>
      </c>
      <c r="F502" t="s">
        <v>548</v>
      </c>
      <c r="G502" t="s">
        <v>549</v>
      </c>
      <c r="H502" t="s">
        <v>550</v>
      </c>
      <c r="I502" t="s">
        <v>209</v>
      </c>
      <c r="J502" t="s">
        <v>176</v>
      </c>
      <c r="K502" s="30">
        <v>43032</v>
      </c>
      <c r="L502" s="8">
        <v>43031.585347222222</v>
      </c>
      <c r="M502" s="21">
        <f>LEN(ProjTextTable[[#This Row],[text]])</f>
        <v>3518</v>
      </c>
      <c r="N502" s="21">
        <f>LEN(TRIM(CLEAN(SUBSTITUTE(ProjTextTable[[#This Row],[text]],CHAR(10)," "))))+1 - LEN(SUBSTITUTE(CLEAN(SUBSTITUTE(ProjTextTable[[#This Row],[text]],CHAR(10)," "))," ",""))</f>
        <v>586</v>
      </c>
      <c r="O502" t="s">
        <v>203</v>
      </c>
      <c r="P502" t="s">
        <v>1612</v>
      </c>
    </row>
    <row r="503" spans="1:16">
      <c r="A503">
        <f t="shared" si="7"/>
        <v>77</v>
      </c>
      <c r="B503" t="s">
        <v>1608</v>
      </c>
      <c r="C503" t="s">
        <v>1609</v>
      </c>
      <c r="D503" t="s">
        <v>194</v>
      </c>
      <c r="E503" t="s">
        <v>543</v>
      </c>
      <c r="F503" t="s">
        <v>552</v>
      </c>
      <c r="G503" t="s">
        <v>553</v>
      </c>
      <c r="H503" t="s">
        <v>554</v>
      </c>
      <c r="I503" t="s">
        <v>209</v>
      </c>
      <c r="J503" t="s">
        <v>176</v>
      </c>
      <c r="K503" s="30">
        <v>43032</v>
      </c>
      <c r="L503" s="8">
        <v>43031.332002314812</v>
      </c>
      <c r="M503" s="21">
        <f>LEN(ProjTextTable[[#This Row],[text]])</f>
        <v>2047</v>
      </c>
      <c r="N503" s="21">
        <f>LEN(TRIM(CLEAN(SUBSTITUTE(ProjTextTable[[#This Row],[text]],CHAR(10)," "))))+1 - LEN(SUBSTITUTE(CLEAN(SUBSTITUTE(ProjTextTable[[#This Row],[text]],CHAR(10)," "))," ",""))</f>
        <v>299</v>
      </c>
      <c r="O503" t="s">
        <v>195</v>
      </c>
      <c r="P503" t="s">
        <v>1613</v>
      </c>
    </row>
    <row r="504" spans="1:16">
      <c r="A504">
        <f t="shared" si="7"/>
        <v>77</v>
      </c>
      <c r="B504" t="s">
        <v>1608</v>
      </c>
      <c r="C504" t="s">
        <v>1609</v>
      </c>
      <c r="D504" t="s">
        <v>194</v>
      </c>
      <c r="E504" t="s">
        <v>543</v>
      </c>
      <c r="F504" t="s">
        <v>729</v>
      </c>
      <c r="G504" t="s">
        <v>730</v>
      </c>
      <c r="H504" t="s">
        <v>731</v>
      </c>
      <c r="I504" t="s">
        <v>209</v>
      </c>
      <c r="J504" t="s">
        <v>176</v>
      </c>
      <c r="K504" s="30">
        <v>43032</v>
      </c>
      <c r="L504" s="8">
        <v>43013.77783564815</v>
      </c>
      <c r="M504" s="21">
        <f>LEN(ProjTextTable[[#This Row],[text]])</f>
        <v>5306</v>
      </c>
      <c r="N504" s="21">
        <f>LEN(TRIM(CLEAN(SUBSTITUTE(ProjTextTable[[#This Row],[text]],CHAR(10)," "))))+1 - LEN(SUBSTITUTE(CLEAN(SUBSTITUTE(ProjTextTable[[#This Row],[text]],CHAR(10)," "))," ",""))</f>
        <v>882</v>
      </c>
      <c r="O504" t="s">
        <v>195</v>
      </c>
      <c r="P504" t="s">
        <v>1614</v>
      </c>
    </row>
    <row r="505" spans="1:16">
      <c r="A505">
        <f t="shared" si="7"/>
        <v>77</v>
      </c>
      <c r="B505" t="s">
        <v>1608</v>
      </c>
      <c r="C505" t="s">
        <v>1609</v>
      </c>
      <c r="D505" t="s">
        <v>196</v>
      </c>
      <c r="E505" t="s">
        <v>1530</v>
      </c>
      <c r="F505" t="s">
        <v>13</v>
      </c>
      <c r="G505" t="s">
        <v>13</v>
      </c>
      <c r="H505" t="s">
        <v>13</v>
      </c>
      <c r="K505" s="30"/>
      <c r="L505" s="8">
        <v>42936.042557870373</v>
      </c>
      <c r="M505" s="21">
        <f>LEN(ProjTextTable[[#This Row],[text]])</f>
        <v>3445</v>
      </c>
      <c r="N505" s="21">
        <f>LEN(TRIM(CLEAN(SUBSTITUTE(ProjTextTable[[#This Row],[text]],CHAR(10)," "))))+1 - LEN(SUBSTITUTE(CLEAN(SUBSTITUTE(ProjTextTable[[#This Row],[text]],CHAR(10)," "))," ",""))</f>
        <v>492</v>
      </c>
      <c r="O505" t="s">
        <v>13</v>
      </c>
      <c r="P505" t="s">
        <v>1615</v>
      </c>
    </row>
    <row r="506" spans="1:16">
      <c r="A506">
        <f t="shared" si="7"/>
        <v>78</v>
      </c>
      <c r="B506" t="s">
        <v>1616</v>
      </c>
      <c r="C506" t="s">
        <v>1617</v>
      </c>
      <c r="D506" t="s">
        <v>205</v>
      </c>
      <c r="E506" t="s">
        <v>543</v>
      </c>
      <c r="F506" t="s">
        <v>544</v>
      </c>
      <c r="G506" t="s">
        <v>545</v>
      </c>
      <c r="H506" t="s">
        <v>207</v>
      </c>
      <c r="I506" t="s">
        <v>197</v>
      </c>
      <c r="J506" t="s">
        <v>253</v>
      </c>
      <c r="K506" s="30">
        <v>43031</v>
      </c>
      <c r="L506" s="8"/>
      <c r="M506" s="21">
        <f>LEN(ProjTextTable[[#This Row],[text]])</f>
        <v>4296</v>
      </c>
      <c r="N506" s="21">
        <f>LEN(TRIM(CLEAN(SUBSTITUTE(ProjTextTable[[#This Row],[text]],CHAR(10)," "))))+1 - LEN(SUBSTITUTE(CLEAN(SUBSTITUTE(ProjTextTable[[#This Row],[text]],CHAR(10)," "))," ",""))</f>
        <v>633</v>
      </c>
      <c r="O506" t="s">
        <v>208</v>
      </c>
      <c r="P506" t="s">
        <v>1618</v>
      </c>
    </row>
    <row r="507" spans="1:16">
      <c r="A507">
        <f t="shared" si="7"/>
        <v>78</v>
      </c>
      <c r="B507" t="s">
        <v>1616</v>
      </c>
      <c r="C507" t="s">
        <v>1617</v>
      </c>
      <c r="D507" t="s">
        <v>194</v>
      </c>
      <c r="E507" t="s">
        <v>543</v>
      </c>
      <c r="F507" t="s">
        <v>729</v>
      </c>
      <c r="G507" t="s">
        <v>730</v>
      </c>
      <c r="H507" t="s">
        <v>731</v>
      </c>
      <c r="I507" t="s">
        <v>209</v>
      </c>
      <c r="J507" t="s">
        <v>176</v>
      </c>
      <c r="K507" s="30">
        <v>43032</v>
      </c>
      <c r="L507" s="8">
        <v>43032.519444444442</v>
      </c>
      <c r="M507" s="21">
        <f>LEN(ProjTextTable[[#This Row],[text]])</f>
        <v>7359</v>
      </c>
      <c r="N507" s="21">
        <f>LEN(TRIM(CLEAN(SUBSTITUTE(ProjTextTable[[#This Row],[text]],CHAR(10)," "))))+1 - LEN(SUBSTITUTE(CLEAN(SUBSTITUTE(ProjTextTable[[#This Row],[text]],CHAR(10)," "))," ",""))</f>
        <v>1246</v>
      </c>
      <c r="O507" t="s">
        <v>199</v>
      </c>
      <c r="P507" t="s">
        <v>1619</v>
      </c>
    </row>
    <row r="508" spans="1:16">
      <c r="A508">
        <f t="shared" si="7"/>
        <v>78</v>
      </c>
      <c r="B508" t="s">
        <v>1616</v>
      </c>
      <c r="C508" t="s">
        <v>1617</v>
      </c>
      <c r="D508" t="s">
        <v>194</v>
      </c>
      <c r="E508" t="s">
        <v>543</v>
      </c>
      <c r="F508" t="s">
        <v>580</v>
      </c>
      <c r="G508" t="s">
        <v>581</v>
      </c>
      <c r="H508" t="s">
        <v>582</v>
      </c>
      <c r="I508" t="s">
        <v>209</v>
      </c>
      <c r="J508" t="s">
        <v>176</v>
      </c>
      <c r="K508" s="30">
        <v>43032</v>
      </c>
      <c r="L508" s="8">
        <v>43030.097916666666</v>
      </c>
      <c r="M508" s="21">
        <f>LEN(ProjTextTable[[#This Row],[text]])</f>
        <v>2211</v>
      </c>
      <c r="N508" s="21">
        <f>LEN(TRIM(CLEAN(SUBSTITUTE(ProjTextTable[[#This Row],[text]],CHAR(10)," "))))+1 - LEN(SUBSTITUTE(CLEAN(SUBSTITUTE(ProjTextTable[[#This Row],[text]],CHAR(10)," "))," ",""))</f>
        <v>328</v>
      </c>
      <c r="O508" t="s">
        <v>195</v>
      </c>
      <c r="P508" t="s">
        <v>1620</v>
      </c>
    </row>
    <row r="509" spans="1:16">
      <c r="A509">
        <f t="shared" si="7"/>
        <v>78</v>
      </c>
      <c r="B509" t="s">
        <v>1616</v>
      </c>
      <c r="C509" t="s">
        <v>1617</v>
      </c>
      <c r="D509" t="s">
        <v>194</v>
      </c>
      <c r="E509" t="s">
        <v>543</v>
      </c>
      <c r="F509" t="s">
        <v>591</v>
      </c>
      <c r="G509" t="s">
        <v>592</v>
      </c>
      <c r="H509" t="s">
        <v>593</v>
      </c>
      <c r="I509" t="s">
        <v>209</v>
      </c>
      <c r="J509" t="s">
        <v>176</v>
      </c>
      <c r="K509" s="30">
        <v>43032</v>
      </c>
      <c r="L509" s="8">
        <v>43029.743773148148</v>
      </c>
      <c r="M509" s="21">
        <f>LEN(ProjTextTable[[#This Row],[text]])</f>
        <v>1790</v>
      </c>
      <c r="N509" s="21">
        <f>LEN(TRIM(CLEAN(SUBSTITUTE(ProjTextTable[[#This Row],[text]],CHAR(10)," "))))+1 - LEN(SUBSTITUTE(CLEAN(SUBSTITUTE(ProjTextTable[[#This Row],[text]],CHAR(10)," "))," ",""))</f>
        <v>255</v>
      </c>
      <c r="O509" t="s">
        <v>251</v>
      </c>
      <c r="P509" t="s">
        <v>1621</v>
      </c>
    </row>
    <row r="510" spans="1:16">
      <c r="A510">
        <f t="shared" si="7"/>
        <v>78</v>
      </c>
      <c r="B510" t="s">
        <v>1616</v>
      </c>
      <c r="C510" t="s">
        <v>1617</v>
      </c>
      <c r="D510" t="s">
        <v>194</v>
      </c>
      <c r="E510" t="s">
        <v>543</v>
      </c>
      <c r="F510" t="s">
        <v>612</v>
      </c>
      <c r="G510" t="s">
        <v>613</v>
      </c>
      <c r="H510" t="s">
        <v>614</v>
      </c>
      <c r="I510" t="s">
        <v>209</v>
      </c>
      <c r="J510" t="s">
        <v>176</v>
      </c>
      <c r="K510" s="30">
        <v>43032</v>
      </c>
      <c r="L510" s="8">
        <v>43026.70988425926</v>
      </c>
      <c r="M510" s="21">
        <f>LEN(ProjTextTable[[#This Row],[text]])</f>
        <v>2510</v>
      </c>
      <c r="N510" s="21">
        <f>LEN(TRIM(CLEAN(SUBSTITUTE(ProjTextTable[[#This Row],[text]],CHAR(10)," "))))+1 - LEN(SUBSTITUTE(CLEAN(SUBSTITUTE(ProjTextTable[[#This Row],[text]],CHAR(10)," "))," ",""))</f>
        <v>396</v>
      </c>
      <c r="O510" t="s">
        <v>199</v>
      </c>
      <c r="P510" t="s">
        <v>1622</v>
      </c>
    </row>
    <row r="511" spans="1:16">
      <c r="A511">
        <f t="shared" si="7"/>
        <v>78</v>
      </c>
      <c r="B511" t="s">
        <v>1616</v>
      </c>
      <c r="C511" t="s">
        <v>1617</v>
      </c>
      <c r="D511" t="s">
        <v>196</v>
      </c>
      <c r="E511" t="s">
        <v>1530</v>
      </c>
      <c r="F511" t="s">
        <v>13</v>
      </c>
      <c r="G511" t="s">
        <v>13</v>
      </c>
      <c r="H511" t="s">
        <v>13</v>
      </c>
      <c r="K511" s="30"/>
      <c r="L511" s="8">
        <v>42936.042581018519</v>
      </c>
      <c r="M511" s="21">
        <f>LEN(ProjTextTable[[#This Row],[text]])</f>
        <v>2310</v>
      </c>
      <c r="N511" s="21">
        <f>LEN(TRIM(CLEAN(SUBSTITUTE(ProjTextTable[[#This Row],[text]],CHAR(10)," "))))+1 - LEN(SUBSTITUTE(CLEAN(SUBSTITUTE(ProjTextTable[[#This Row],[text]],CHAR(10)," "))," ",""))</f>
        <v>295</v>
      </c>
      <c r="O511" t="s">
        <v>13</v>
      </c>
      <c r="P511" t="s">
        <v>1623</v>
      </c>
    </row>
    <row r="512" spans="1:16">
      <c r="A512">
        <f t="shared" si="7"/>
        <v>79</v>
      </c>
      <c r="B512" t="s">
        <v>1624</v>
      </c>
      <c r="C512" t="s">
        <v>1625</v>
      </c>
      <c r="D512" t="s">
        <v>205</v>
      </c>
      <c r="E512" t="s">
        <v>543</v>
      </c>
      <c r="F512" t="s">
        <v>544</v>
      </c>
      <c r="G512" t="s">
        <v>545</v>
      </c>
      <c r="H512" t="s">
        <v>207</v>
      </c>
      <c r="I512" t="s">
        <v>197</v>
      </c>
      <c r="J512" t="s">
        <v>193</v>
      </c>
      <c r="K512" s="30">
        <v>43031</v>
      </c>
      <c r="L512" s="8"/>
      <c r="M512" s="21">
        <f>LEN(ProjTextTable[[#This Row],[text]])</f>
        <v>2693</v>
      </c>
      <c r="N512" s="21">
        <f>LEN(TRIM(CLEAN(SUBSTITUTE(ProjTextTable[[#This Row],[text]],CHAR(10)," "))))+1 - LEN(SUBSTITUTE(CLEAN(SUBSTITUTE(ProjTextTable[[#This Row],[text]],CHAR(10)," "))," ",""))</f>
        <v>386</v>
      </c>
      <c r="O512" t="s">
        <v>208</v>
      </c>
      <c r="P512" t="s">
        <v>1626</v>
      </c>
    </row>
    <row r="513" spans="1:16">
      <c r="A513">
        <f t="shared" si="7"/>
        <v>79</v>
      </c>
      <c r="B513" t="s">
        <v>1624</v>
      </c>
      <c r="C513" t="s">
        <v>1625</v>
      </c>
      <c r="D513" t="s">
        <v>194</v>
      </c>
      <c r="E513" t="s">
        <v>543</v>
      </c>
      <c r="F513" t="s">
        <v>673</v>
      </c>
      <c r="G513" t="s">
        <v>674</v>
      </c>
      <c r="H513" t="s">
        <v>675</v>
      </c>
      <c r="I513" t="s">
        <v>209</v>
      </c>
      <c r="J513" t="s">
        <v>176</v>
      </c>
      <c r="K513" s="30">
        <v>43032</v>
      </c>
      <c r="L513" s="8">
        <v>43027.652361111112</v>
      </c>
      <c r="M513" s="21">
        <f>LEN(ProjTextTable[[#This Row],[text]])</f>
        <v>2118</v>
      </c>
      <c r="N513" s="21">
        <f>LEN(TRIM(CLEAN(SUBSTITUTE(ProjTextTable[[#This Row],[text]],CHAR(10)," "))))+1 - LEN(SUBSTITUTE(CLEAN(SUBSTITUTE(ProjTextTable[[#This Row],[text]],CHAR(10)," "))," ",""))</f>
        <v>305</v>
      </c>
      <c r="O513" t="s">
        <v>199</v>
      </c>
      <c r="P513" t="s">
        <v>1627</v>
      </c>
    </row>
    <row r="514" spans="1:16">
      <c r="A514">
        <f t="shared" ref="A514:A577" si="8">A513+(B514&lt;&gt;B513)</f>
        <v>79</v>
      </c>
      <c r="B514" t="s">
        <v>1624</v>
      </c>
      <c r="C514" t="s">
        <v>1625</v>
      </c>
      <c r="D514" t="s">
        <v>194</v>
      </c>
      <c r="E514" t="s">
        <v>1530</v>
      </c>
      <c r="F514" t="s">
        <v>560</v>
      </c>
      <c r="G514" t="s">
        <v>561</v>
      </c>
      <c r="H514" t="s">
        <v>562</v>
      </c>
      <c r="I514" t="s">
        <v>209</v>
      </c>
      <c r="J514" t="s">
        <v>176</v>
      </c>
      <c r="K514" s="30">
        <v>43032</v>
      </c>
      <c r="L514" s="8">
        <v>43031.632939814815</v>
      </c>
      <c r="M514" s="21">
        <f>LEN(ProjTextTable[[#This Row],[text]])</f>
        <v>2363</v>
      </c>
      <c r="N514" s="21">
        <f>LEN(TRIM(CLEAN(SUBSTITUTE(ProjTextTable[[#This Row],[text]],CHAR(10)," "))))+1 - LEN(SUBSTITUTE(CLEAN(SUBSTITUTE(ProjTextTable[[#This Row],[text]],CHAR(10)," "))," ",""))</f>
        <v>352</v>
      </c>
      <c r="O514" t="s">
        <v>199</v>
      </c>
      <c r="P514" t="s">
        <v>1628</v>
      </c>
    </row>
    <row r="515" spans="1:16">
      <c r="A515">
        <f t="shared" si="8"/>
        <v>79</v>
      </c>
      <c r="B515" t="s">
        <v>1624</v>
      </c>
      <c r="C515" t="s">
        <v>1625</v>
      </c>
      <c r="D515" t="s">
        <v>194</v>
      </c>
      <c r="E515" t="s">
        <v>543</v>
      </c>
      <c r="F515" t="s">
        <v>729</v>
      </c>
      <c r="G515" t="s">
        <v>730</v>
      </c>
      <c r="H515" t="s">
        <v>731</v>
      </c>
      <c r="I515" t="s">
        <v>209</v>
      </c>
      <c r="J515" t="s">
        <v>176</v>
      </c>
      <c r="K515" s="30">
        <v>43032</v>
      </c>
      <c r="L515" s="8">
        <v>43032.520671296297</v>
      </c>
      <c r="M515" s="21">
        <f>LEN(ProjTextTable[[#This Row],[text]])</f>
        <v>5534</v>
      </c>
      <c r="N515" s="21">
        <f>LEN(TRIM(CLEAN(SUBSTITUTE(ProjTextTable[[#This Row],[text]],CHAR(10)," "))))+1 - LEN(SUBSTITUTE(CLEAN(SUBSTITUTE(ProjTextTable[[#This Row],[text]],CHAR(10)," "))," ",""))</f>
        <v>912</v>
      </c>
      <c r="O515" t="s">
        <v>251</v>
      </c>
      <c r="P515" t="s">
        <v>1629</v>
      </c>
    </row>
    <row r="516" spans="1:16">
      <c r="A516">
        <f t="shared" si="8"/>
        <v>79</v>
      </c>
      <c r="B516" t="s">
        <v>1624</v>
      </c>
      <c r="C516" t="s">
        <v>1625</v>
      </c>
      <c r="D516" t="s">
        <v>194</v>
      </c>
      <c r="E516" t="s">
        <v>543</v>
      </c>
      <c r="F516" t="s">
        <v>606</v>
      </c>
      <c r="G516" t="s">
        <v>607</v>
      </c>
      <c r="H516" t="s">
        <v>608</v>
      </c>
      <c r="I516" t="s">
        <v>209</v>
      </c>
      <c r="J516" t="s">
        <v>176</v>
      </c>
      <c r="K516" s="30">
        <v>43032</v>
      </c>
      <c r="L516" s="8">
        <v>43030.650266203702</v>
      </c>
      <c r="M516" s="21">
        <f>LEN(ProjTextTable[[#This Row],[text]])</f>
        <v>2740</v>
      </c>
      <c r="N516" s="21">
        <f>LEN(TRIM(CLEAN(SUBSTITUTE(ProjTextTable[[#This Row],[text]],CHAR(10)," "))))+1 - LEN(SUBSTITUTE(CLEAN(SUBSTITUTE(ProjTextTable[[#This Row],[text]],CHAR(10)," "))," ",""))</f>
        <v>440</v>
      </c>
      <c r="O516" t="s">
        <v>198</v>
      </c>
      <c r="P516" t="s">
        <v>1630</v>
      </c>
    </row>
    <row r="517" spans="1:16">
      <c r="A517">
        <f t="shared" si="8"/>
        <v>79</v>
      </c>
      <c r="B517" t="s">
        <v>1624</v>
      </c>
      <c r="C517" t="s">
        <v>1625</v>
      </c>
      <c r="D517" t="s">
        <v>196</v>
      </c>
      <c r="E517" t="s">
        <v>1530</v>
      </c>
      <c r="F517" t="s">
        <v>13</v>
      </c>
      <c r="G517" t="s">
        <v>13</v>
      </c>
      <c r="H517" t="s">
        <v>13</v>
      </c>
      <c r="K517" s="30"/>
      <c r="L517" s="8">
        <v>42936.042615740742</v>
      </c>
      <c r="M517" s="21">
        <f>LEN(ProjTextTable[[#This Row],[text]])</f>
        <v>4420</v>
      </c>
      <c r="N517" s="21">
        <f>LEN(TRIM(CLEAN(SUBSTITUTE(ProjTextTable[[#This Row],[text]],CHAR(10)," "))))+1 - LEN(SUBSTITUTE(CLEAN(SUBSTITUTE(ProjTextTable[[#This Row],[text]],CHAR(10)," "))," ",""))</f>
        <v>643</v>
      </c>
      <c r="O517" t="s">
        <v>13</v>
      </c>
      <c r="P517" t="s">
        <v>1631</v>
      </c>
    </row>
    <row r="518" spans="1:16">
      <c r="A518">
        <f t="shared" si="8"/>
        <v>80</v>
      </c>
      <c r="B518" t="s">
        <v>1632</v>
      </c>
      <c r="C518" t="s">
        <v>1633</v>
      </c>
      <c r="D518" t="s">
        <v>205</v>
      </c>
      <c r="E518" t="s">
        <v>543</v>
      </c>
      <c r="F518" t="s">
        <v>544</v>
      </c>
      <c r="G518" t="s">
        <v>545</v>
      </c>
      <c r="H518" t="s">
        <v>249</v>
      </c>
      <c r="I518" t="s">
        <v>193</v>
      </c>
      <c r="J518" t="s">
        <v>566</v>
      </c>
      <c r="K518" s="30">
        <v>43031</v>
      </c>
      <c r="L518" s="8"/>
      <c r="M518" s="21">
        <f>LEN(ProjTextTable[[#This Row],[text]])</f>
        <v>2933</v>
      </c>
      <c r="N518" s="21">
        <f>LEN(TRIM(CLEAN(SUBSTITUTE(ProjTextTable[[#This Row],[text]],CHAR(10)," "))))+1 - LEN(SUBSTITUTE(CLEAN(SUBSTITUTE(ProjTextTable[[#This Row],[text]],CHAR(10)," "))," ",""))</f>
        <v>435</v>
      </c>
      <c r="O518" t="s">
        <v>248</v>
      </c>
      <c r="P518" t="s">
        <v>1634</v>
      </c>
    </row>
    <row r="519" spans="1:16">
      <c r="A519">
        <f t="shared" si="8"/>
        <v>80</v>
      </c>
      <c r="B519" t="s">
        <v>1632</v>
      </c>
      <c r="C519" t="s">
        <v>1633</v>
      </c>
      <c r="D519" t="s">
        <v>194</v>
      </c>
      <c r="E519" t="s">
        <v>543</v>
      </c>
      <c r="F519" t="s">
        <v>650</v>
      </c>
      <c r="G519" t="s">
        <v>651</v>
      </c>
      <c r="H519" t="s">
        <v>652</v>
      </c>
      <c r="I519" t="s">
        <v>209</v>
      </c>
      <c r="J519" t="s">
        <v>176</v>
      </c>
      <c r="K519" s="30">
        <v>43032</v>
      </c>
      <c r="L519" s="8">
        <v>43030.861539351848</v>
      </c>
      <c r="M519" s="21">
        <f>LEN(ProjTextTable[[#This Row],[text]])</f>
        <v>2279</v>
      </c>
      <c r="N519" s="21">
        <f>LEN(TRIM(CLEAN(SUBSTITUTE(ProjTextTable[[#This Row],[text]],CHAR(10)," "))))+1 - LEN(SUBSTITUTE(CLEAN(SUBSTITUTE(ProjTextTable[[#This Row],[text]],CHAR(10)," "))," ",""))</f>
        <v>335</v>
      </c>
      <c r="O519" t="s">
        <v>198</v>
      </c>
      <c r="P519" t="s">
        <v>1635</v>
      </c>
    </row>
    <row r="520" spans="1:16">
      <c r="A520">
        <f t="shared" si="8"/>
        <v>80</v>
      </c>
      <c r="B520" t="s">
        <v>1632</v>
      </c>
      <c r="C520" t="s">
        <v>1633</v>
      </c>
      <c r="D520" t="s">
        <v>194</v>
      </c>
      <c r="E520" t="s">
        <v>543</v>
      </c>
      <c r="F520" t="s">
        <v>556</v>
      </c>
      <c r="G520" t="s">
        <v>557</v>
      </c>
      <c r="H520" t="s">
        <v>558</v>
      </c>
      <c r="I520" t="s">
        <v>209</v>
      </c>
      <c r="J520" t="s">
        <v>176</v>
      </c>
      <c r="K520" s="30">
        <v>43032</v>
      </c>
      <c r="L520" s="8">
        <v>43030.96875</v>
      </c>
      <c r="M520" s="21">
        <f>LEN(ProjTextTable[[#This Row],[text]])</f>
        <v>2428</v>
      </c>
      <c r="N520" s="21">
        <f>LEN(TRIM(CLEAN(SUBSTITUTE(ProjTextTable[[#This Row],[text]],CHAR(10)," "))))+1 - LEN(SUBSTITUTE(CLEAN(SUBSTITUTE(ProjTextTable[[#This Row],[text]],CHAR(10)," "))," ",""))</f>
        <v>386</v>
      </c>
      <c r="O520" t="s">
        <v>202</v>
      </c>
      <c r="P520" t="s">
        <v>1636</v>
      </c>
    </row>
    <row r="521" spans="1:16">
      <c r="A521">
        <f t="shared" si="8"/>
        <v>80</v>
      </c>
      <c r="B521" t="s">
        <v>1632</v>
      </c>
      <c r="C521" t="s">
        <v>1633</v>
      </c>
      <c r="D521" t="s">
        <v>194</v>
      </c>
      <c r="E521" t="s">
        <v>543</v>
      </c>
      <c r="F521" t="s">
        <v>580</v>
      </c>
      <c r="G521" t="s">
        <v>581</v>
      </c>
      <c r="H521" t="s">
        <v>582</v>
      </c>
      <c r="I521" t="s">
        <v>209</v>
      </c>
      <c r="J521" t="s">
        <v>176</v>
      </c>
      <c r="K521" s="30">
        <v>43032</v>
      </c>
      <c r="L521" s="8">
        <v>43030.694988425923</v>
      </c>
      <c r="M521" s="21">
        <f>LEN(ProjTextTable[[#This Row],[text]])</f>
        <v>4076</v>
      </c>
      <c r="N521" s="21">
        <f>LEN(TRIM(CLEAN(SUBSTITUTE(ProjTextTable[[#This Row],[text]],CHAR(10)," "))))+1 - LEN(SUBSTITUTE(CLEAN(SUBSTITUTE(ProjTextTable[[#This Row],[text]],CHAR(10)," "))," ",""))</f>
        <v>620</v>
      </c>
      <c r="O521" t="s">
        <v>199</v>
      </c>
      <c r="P521" t="s">
        <v>1637</v>
      </c>
    </row>
    <row r="522" spans="1:16">
      <c r="A522">
        <f t="shared" si="8"/>
        <v>80</v>
      </c>
      <c r="B522" t="s">
        <v>1632</v>
      </c>
      <c r="C522" t="s">
        <v>1633</v>
      </c>
      <c r="D522" t="s">
        <v>194</v>
      </c>
      <c r="E522" t="s">
        <v>543</v>
      </c>
      <c r="F522" t="s">
        <v>612</v>
      </c>
      <c r="G522" t="s">
        <v>613</v>
      </c>
      <c r="H522" t="s">
        <v>614</v>
      </c>
      <c r="I522" t="s">
        <v>209</v>
      </c>
      <c r="J522" t="s">
        <v>176</v>
      </c>
      <c r="K522" s="30">
        <v>43032</v>
      </c>
      <c r="L522" s="8">
        <v>43030.806562500002</v>
      </c>
      <c r="M522" s="21">
        <f>LEN(ProjTextTable[[#This Row],[text]])</f>
        <v>3124</v>
      </c>
      <c r="N522" s="21">
        <f>LEN(TRIM(CLEAN(SUBSTITUTE(ProjTextTable[[#This Row],[text]],CHAR(10)," "))))+1 - LEN(SUBSTITUTE(CLEAN(SUBSTITUTE(ProjTextTable[[#This Row],[text]],CHAR(10)," "))," ",""))</f>
        <v>492</v>
      </c>
      <c r="O522" t="s">
        <v>202</v>
      </c>
      <c r="P522" t="s">
        <v>1638</v>
      </c>
    </row>
    <row r="523" spans="1:16">
      <c r="A523">
        <f t="shared" si="8"/>
        <v>80</v>
      </c>
      <c r="B523" t="s">
        <v>1632</v>
      </c>
      <c r="C523" t="s">
        <v>1633</v>
      </c>
      <c r="D523" t="s">
        <v>196</v>
      </c>
      <c r="E523" t="s">
        <v>1530</v>
      </c>
      <c r="F523" t="s">
        <v>13</v>
      </c>
      <c r="G523" t="s">
        <v>13</v>
      </c>
      <c r="H523" t="s">
        <v>13</v>
      </c>
      <c r="K523" s="30"/>
      <c r="L523" s="8">
        <v>42936.043032407404</v>
      </c>
      <c r="M523" s="21">
        <f>LEN(ProjTextTable[[#This Row],[text]])</f>
        <v>4474</v>
      </c>
      <c r="N523" s="21">
        <f>LEN(TRIM(CLEAN(SUBSTITUTE(ProjTextTable[[#This Row],[text]],CHAR(10)," "))))+1 - LEN(SUBSTITUTE(CLEAN(SUBSTITUTE(ProjTextTable[[#This Row],[text]],CHAR(10)," "))," ",""))</f>
        <v>661</v>
      </c>
      <c r="O523" t="s">
        <v>13</v>
      </c>
      <c r="P523" t="s">
        <v>1639</v>
      </c>
    </row>
    <row r="524" spans="1:16">
      <c r="A524">
        <f t="shared" si="8"/>
        <v>81</v>
      </c>
      <c r="B524" t="s">
        <v>1640</v>
      </c>
      <c r="C524" t="s">
        <v>1641</v>
      </c>
      <c r="D524" t="s">
        <v>205</v>
      </c>
      <c r="E524" t="s">
        <v>543</v>
      </c>
      <c r="F524" t="s">
        <v>544</v>
      </c>
      <c r="G524" t="s">
        <v>545</v>
      </c>
      <c r="H524" t="s">
        <v>245</v>
      </c>
      <c r="I524" t="s">
        <v>95</v>
      </c>
      <c r="J524" t="s">
        <v>95</v>
      </c>
      <c r="K524" s="30">
        <v>43031</v>
      </c>
      <c r="L524" s="8"/>
      <c r="M524" s="21">
        <f>LEN(ProjTextTable[[#This Row],[text]])</f>
        <v>3395</v>
      </c>
      <c r="N524" s="21">
        <f>LEN(TRIM(CLEAN(SUBSTITUTE(ProjTextTable[[#This Row],[text]],CHAR(10)," "))))+1 - LEN(SUBSTITUTE(CLEAN(SUBSTITUTE(ProjTextTable[[#This Row],[text]],CHAR(10)," "))," ",""))</f>
        <v>510</v>
      </c>
      <c r="O524" t="s">
        <v>243</v>
      </c>
      <c r="P524" t="s">
        <v>1642</v>
      </c>
    </row>
    <row r="525" spans="1:16">
      <c r="A525">
        <f t="shared" si="8"/>
        <v>81</v>
      </c>
      <c r="B525" t="s">
        <v>1640</v>
      </c>
      <c r="C525" t="s">
        <v>1641</v>
      </c>
      <c r="D525" t="s">
        <v>194</v>
      </c>
      <c r="E525" t="s">
        <v>543</v>
      </c>
      <c r="F525" t="s">
        <v>556</v>
      </c>
      <c r="G525" t="s">
        <v>557</v>
      </c>
      <c r="H525" t="s">
        <v>558</v>
      </c>
      <c r="I525" t="s">
        <v>209</v>
      </c>
      <c r="J525" t="s">
        <v>176</v>
      </c>
      <c r="K525" s="30">
        <v>43032</v>
      </c>
      <c r="L525" s="8">
        <v>43031.606099537035</v>
      </c>
      <c r="M525" s="21">
        <f>LEN(ProjTextTable[[#This Row],[text]])</f>
        <v>3088</v>
      </c>
      <c r="N525" s="21">
        <f>LEN(TRIM(CLEAN(SUBSTITUTE(ProjTextTable[[#This Row],[text]],CHAR(10)," "))))+1 - LEN(SUBSTITUTE(CLEAN(SUBSTITUTE(ProjTextTable[[#This Row],[text]],CHAR(10)," "))," ",""))</f>
        <v>450</v>
      </c>
      <c r="O525" t="s">
        <v>198</v>
      </c>
      <c r="P525" t="s">
        <v>1643</v>
      </c>
    </row>
    <row r="526" spans="1:16">
      <c r="A526">
        <f t="shared" si="8"/>
        <v>81</v>
      </c>
      <c r="B526" t="s">
        <v>1640</v>
      </c>
      <c r="C526" t="s">
        <v>1641</v>
      </c>
      <c r="D526" t="s">
        <v>194</v>
      </c>
      <c r="E526" t="s">
        <v>543</v>
      </c>
      <c r="F526" t="s">
        <v>729</v>
      </c>
      <c r="G526" t="s">
        <v>730</v>
      </c>
      <c r="H526" t="s">
        <v>731</v>
      </c>
      <c r="I526" t="s">
        <v>209</v>
      </c>
      <c r="J526" t="s">
        <v>176</v>
      </c>
      <c r="K526" s="30">
        <v>43032</v>
      </c>
      <c r="L526" s="8">
        <v>43032.52853009259</v>
      </c>
      <c r="M526" s="21">
        <f>LEN(ProjTextTable[[#This Row],[text]])</f>
        <v>4240</v>
      </c>
      <c r="N526" s="21">
        <f>LEN(TRIM(CLEAN(SUBSTITUTE(ProjTextTable[[#This Row],[text]],CHAR(10)," "))))+1 - LEN(SUBSTITUTE(CLEAN(SUBSTITUTE(ProjTextTable[[#This Row],[text]],CHAR(10)," "))," ",""))</f>
        <v>665</v>
      </c>
      <c r="O526" t="s">
        <v>195</v>
      </c>
      <c r="P526" t="s">
        <v>1644</v>
      </c>
    </row>
    <row r="527" spans="1:16">
      <c r="A527">
        <f t="shared" si="8"/>
        <v>81</v>
      </c>
      <c r="B527" t="s">
        <v>1640</v>
      </c>
      <c r="C527" t="s">
        <v>1641</v>
      </c>
      <c r="D527" t="s">
        <v>194</v>
      </c>
      <c r="E527" t="s">
        <v>543</v>
      </c>
      <c r="F527" t="s">
        <v>606</v>
      </c>
      <c r="G527" t="s">
        <v>607</v>
      </c>
      <c r="H527" t="s">
        <v>608</v>
      </c>
      <c r="I527" t="s">
        <v>209</v>
      </c>
      <c r="J527" t="s">
        <v>176</v>
      </c>
      <c r="K527" s="30">
        <v>43032</v>
      </c>
      <c r="L527" s="8">
        <v>43030.964513888888</v>
      </c>
      <c r="M527" s="21">
        <f>LEN(ProjTextTable[[#This Row],[text]])</f>
        <v>1835</v>
      </c>
      <c r="N527" s="21">
        <f>LEN(TRIM(CLEAN(SUBSTITUTE(ProjTextTable[[#This Row],[text]],CHAR(10)," "))))+1 - LEN(SUBSTITUTE(CLEAN(SUBSTITUTE(ProjTextTable[[#This Row],[text]],CHAR(10)," "))," ",""))</f>
        <v>279</v>
      </c>
      <c r="O527" t="s">
        <v>198</v>
      </c>
      <c r="P527" t="s">
        <v>1645</v>
      </c>
    </row>
    <row r="528" spans="1:16">
      <c r="A528">
        <f t="shared" si="8"/>
        <v>81</v>
      </c>
      <c r="B528" t="s">
        <v>1640</v>
      </c>
      <c r="C528" t="s">
        <v>1641</v>
      </c>
      <c r="D528" t="s">
        <v>194</v>
      </c>
      <c r="E528" t="s">
        <v>543</v>
      </c>
      <c r="F528" t="s">
        <v>591</v>
      </c>
      <c r="G528" t="s">
        <v>592</v>
      </c>
      <c r="H528" t="s">
        <v>593</v>
      </c>
      <c r="I528" t="s">
        <v>209</v>
      </c>
      <c r="J528" t="s">
        <v>176</v>
      </c>
      <c r="K528" s="30">
        <v>43032</v>
      </c>
      <c r="L528" s="8">
        <v>43028.722314814811</v>
      </c>
      <c r="M528" s="21">
        <f>LEN(ProjTextTable[[#This Row],[text]])</f>
        <v>1743</v>
      </c>
      <c r="N528" s="21">
        <f>LEN(TRIM(CLEAN(SUBSTITUTE(ProjTextTable[[#This Row],[text]],CHAR(10)," "))))+1 - LEN(SUBSTITUTE(CLEAN(SUBSTITUTE(ProjTextTable[[#This Row],[text]],CHAR(10)," "))," ",""))</f>
        <v>246</v>
      </c>
      <c r="O528" t="s">
        <v>251</v>
      </c>
      <c r="P528" t="s">
        <v>1646</v>
      </c>
    </row>
    <row r="529" spans="1:16">
      <c r="A529">
        <f t="shared" si="8"/>
        <v>82</v>
      </c>
      <c r="B529" t="s">
        <v>1647</v>
      </c>
      <c r="C529" t="s">
        <v>1031</v>
      </c>
      <c r="D529" t="s">
        <v>205</v>
      </c>
      <c r="E529" t="s">
        <v>543</v>
      </c>
      <c r="F529" t="s">
        <v>619</v>
      </c>
      <c r="G529" t="s">
        <v>620</v>
      </c>
      <c r="H529" t="s">
        <v>249</v>
      </c>
      <c r="I529" t="s">
        <v>193</v>
      </c>
      <c r="J529" t="s">
        <v>922</v>
      </c>
      <c r="K529" s="30">
        <v>43059</v>
      </c>
      <c r="L529" s="8">
        <v>43075.742546296293</v>
      </c>
      <c r="M529" s="21">
        <f>LEN(ProjTextTable[[#This Row],[text]])</f>
        <v>2924</v>
      </c>
      <c r="N529" s="21">
        <f>LEN(TRIM(CLEAN(SUBSTITUTE(ProjTextTable[[#This Row],[text]],CHAR(10)," "))))+1 - LEN(SUBSTITUTE(CLEAN(SUBSTITUTE(ProjTextTable[[#This Row],[text]],CHAR(10)," "))," ",""))</f>
        <v>439</v>
      </c>
      <c r="O529" t="s">
        <v>248</v>
      </c>
      <c r="P529" t="s">
        <v>1648</v>
      </c>
    </row>
    <row r="530" spans="1:16">
      <c r="A530">
        <f t="shared" si="8"/>
        <v>82</v>
      </c>
      <c r="B530" t="s">
        <v>1647</v>
      </c>
      <c r="C530" t="s">
        <v>1031</v>
      </c>
      <c r="D530" t="s">
        <v>194</v>
      </c>
      <c r="E530" t="s">
        <v>543</v>
      </c>
      <c r="F530" t="s">
        <v>1507</v>
      </c>
      <c r="G530" t="s">
        <v>1508</v>
      </c>
      <c r="H530" t="s">
        <v>1509</v>
      </c>
      <c r="I530" t="s">
        <v>209</v>
      </c>
      <c r="J530" t="s">
        <v>176</v>
      </c>
      <c r="K530" s="30">
        <v>43060</v>
      </c>
      <c r="L530" s="8">
        <v>43058.980439814812</v>
      </c>
      <c r="M530" s="21">
        <f>LEN(ProjTextTable[[#This Row],[text]])</f>
        <v>2623</v>
      </c>
      <c r="N530" s="21">
        <f>LEN(TRIM(CLEAN(SUBSTITUTE(ProjTextTable[[#This Row],[text]],CHAR(10)," "))))+1 - LEN(SUBSTITUTE(CLEAN(SUBSTITUTE(ProjTextTable[[#This Row],[text]],CHAR(10)," "))," ",""))</f>
        <v>395</v>
      </c>
      <c r="O530" t="s">
        <v>195</v>
      </c>
      <c r="P530" t="s">
        <v>1649</v>
      </c>
    </row>
    <row r="531" spans="1:16">
      <c r="A531">
        <f t="shared" si="8"/>
        <v>82</v>
      </c>
      <c r="B531" t="s">
        <v>1647</v>
      </c>
      <c r="C531" t="s">
        <v>1031</v>
      </c>
      <c r="D531" t="s">
        <v>194</v>
      </c>
      <c r="E531" t="s">
        <v>543</v>
      </c>
      <c r="F531" t="s">
        <v>1515</v>
      </c>
      <c r="G531" t="s">
        <v>1516</v>
      </c>
      <c r="H531" t="s">
        <v>1517</v>
      </c>
      <c r="I531" t="s">
        <v>209</v>
      </c>
      <c r="J531" t="s">
        <v>176</v>
      </c>
      <c r="K531" s="30">
        <v>43060</v>
      </c>
      <c r="L531" s="8">
        <v>43057.612581018519</v>
      </c>
      <c r="M531" s="21">
        <f>LEN(ProjTextTable[[#This Row],[text]])</f>
        <v>1910</v>
      </c>
      <c r="N531" s="21">
        <f>LEN(TRIM(CLEAN(SUBSTITUTE(ProjTextTable[[#This Row],[text]],CHAR(10)," "))))+1 - LEN(SUBSTITUTE(CLEAN(SUBSTITUTE(ProjTextTable[[#This Row],[text]],CHAR(10)," "))," ",""))</f>
        <v>291</v>
      </c>
      <c r="O531" t="s">
        <v>203</v>
      </c>
      <c r="P531" t="s">
        <v>1650</v>
      </c>
    </row>
    <row r="532" spans="1:16">
      <c r="A532">
        <f t="shared" si="8"/>
        <v>82</v>
      </c>
      <c r="B532" t="s">
        <v>1647</v>
      </c>
      <c r="C532" t="s">
        <v>1031</v>
      </c>
      <c r="D532" t="s">
        <v>194</v>
      </c>
      <c r="E532" t="s">
        <v>543</v>
      </c>
      <c r="F532" t="s">
        <v>1552</v>
      </c>
      <c r="G532" t="s">
        <v>1553</v>
      </c>
      <c r="H532" t="s">
        <v>1554</v>
      </c>
      <c r="I532" t="s">
        <v>209</v>
      </c>
      <c r="J532" t="s">
        <v>176</v>
      </c>
      <c r="K532" s="30">
        <v>43060</v>
      </c>
      <c r="L532" s="8">
        <v>43059.951006944444</v>
      </c>
      <c r="M532" s="21">
        <f>LEN(ProjTextTable[[#This Row],[text]])</f>
        <v>1875</v>
      </c>
      <c r="N532" s="21">
        <f>LEN(TRIM(CLEAN(SUBSTITUTE(ProjTextTable[[#This Row],[text]],CHAR(10)," "))))+1 - LEN(SUBSTITUTE(CLEAN(SUBSTITUTE(ProjTextTable[[#This Row],[text]],CHAR(10)," "))," ",""))</f>
        <v>283</v>
      </c>
      <c r="O532" t="s">
        <v>199</v>
      </c>
      <c r="P532" t="s">
        <v>1651</v>
      </c>
    </row>
    <row r="533" spans="1:16">
      <c r="A533">
        <f t="shared" si="8"/>
        <v>82</v>
      </c>
      <c r="B533" t="s">
        <v>1647</v>
      </c>
      <c r="C533" t="s">
        <v>1031</v>
      </c>
      <c r="D533" t="s">
        <v>194</v>
      </c>
      <c r="E533" t="s">
        <v>543</v>
      </c>
      <c r="F533" t="s">
        <v>1565</v>
      </c>
      <c r="G533" t="s">
        <v>1566</v>
      </c>
      <c r="H533" t="s">
        <v>1567</v>
      </c>
      <c r="I533" t="s">
        <v>209</v>
      </c>
      <c r="J533" t="s">
        <v>176</v>
      </c>
      <c r="K533" s="30">
        <v>43060</v>
      </c>
      <c r="L533" s="8">
        <v>43058.974745370368</v>
      </c>
      <c r="M533" s="21">
        <f>LEN(ProjTextTable[[#This Row],[text]])</f>
        <v>2219</v>
      </c>
      <c r="N533" s="21">
        <f>LEN(TRIM(CLEAN(SUBSTITUTE(ProjTextTable[[#This Row],[text]],CHAR(10)," "))))+1 - LEN(SUBSTITUTE(CLEAN(SUBSTITUTE(ProjTextTable[[#This Row],[text]],CHAR(10)," "))," ",""))</f>
        <v>334</v>
      </c>
      <c r="O533" t="s">
        <v>203</v>
      </c>
      <c r="P533" t="s">
        <v>1652</v>
      </c>
    </row>
    <row r="534" spans="1:16">
      <c r="A534">
        <f t="shared" si="8"/>
        <v>82</v>
      </c>
      <c r="B534" t="s">
        <v>1647</v>
      </c>
      <c r="C534" t="s">
        <v>1031</v>
      </c>
      <c r="D534" t="s">
        <v>196</v>
      </c>
      <c r="E534" t="s">
        <v>1530</v>
      </c>
      <c r="F534" t="s">
        <v>13</v>
      </c>
      <c r="G534" t="s">
        <v>13</v>
      </c>
      <c r="H534" t="s">
        <v>13</v>
      </c>
      <c r="K534" s="30"/>
      <c r="L534" s="8">
        <v>42936.043124999997</v>
      </c>
      <c r="M534" s="21">
        <f>LEN(ProjTextTable[[#This Row],[text]])</f>
        <v>2664</v>
      </c>
      <c r="N534" s="21">
        <f>LEN(TRIM(CLEAN(SUBSTITUTE(ProjTextTable[[#This Row],[text]],CHAR(10)," "))))+1 - LEN(SUBSTITUTE(CLEAN(SUBSTITUTE(ProjTextTable[[#This Row],[text]],CHAR(10)," "))," ",""))</f>
        <v>408</v>
      </c>
      <c r="O534" t="s">
        <v>13</v>
      </c>
      <c r="P534" t="s">
        <v>1653</v>
      </c>
    </row>
    <row r="535" spans="1:16">
      <c r="A535">
        <f t="shared" si="8"/>
        <v>83</v>
      </c>
      <c r="B535" t="s">
        <v>1654</v>
      </c>
      <c r="C535" t="s">
        <v>1655</v>
      </c>
      <c r="D535" t="s">
        <v>205</v>
      </c>
      <c r="E535" t="s">
        <v>543</v>
      </c>
      <c r="F535" t="s">
        <v>619</v>
      </c>
      <c r="G535" t="s">
        <v>620</v>
      </c>
      <c r="H535" t="s">
        <v>207</v>
      </c>
      <c r="I535" t="s">
        <v>197</v>
      </c>
      <c r="J535" t="s">
        <v>668</v>
      </c>
      <c r="K535" s="30">
        <v>43059</v>
      </c>
      <c r="L535" s="8"/>
      <c r="M535" s="21">
        <f>LEN(ProjTextTable[[#This Row],[text]])</f>
        <v>2705</v>
      </c>
      <c r="N535" s="21">
        <f>LEN(TRIM(CLEAN(SUBSTITUTE(ProjTextTable[[#This Row],[text]],CHAR(10)," "))))+1 - LEN(SUBSTITUTE(CLEAN(SUBSTITUTE(ProjTextTable[[#This Row],[text]],CHAR(10)," "))," ",""))</f>
        <v>417</v>
      </c>
      <c r="O535" t="s">
        <v>208</v>
      </c>
      <c r="P535" t="s">
        <v>1656</v>
      </c>
    </row>
    <row r="536" spans="1:16">
      <c r="A536">
        <f t="shared" si="8"/>
        <v>83</v>
      </c>
      <c r="B536" t="s">
        <v>1654</v>
      </c>
      <c r="C536" t="s">
        <v>1655</v>
      </c>
      <c r="D536" t="s">
        <v>194</v>
      </c>
      <c r="E536" t="s">
        <v>543</v>
      </c>
      <c r="F536" t="s">
        <v>1579</v>
      </c>
      <c r="G536" t="s">
        <v>1580</v>
      </c>
      <c r="H536" t="s">
        <v>1581</v>
      </c>
      <c r="I536" t="s">
        <v>209</v>
      </c>
      <c r="J536" t="s">
        <v>176</v>
      </c>
      <c r="K536" s="30">
        <v>43060</v>
      </c>
      <c r="L536" s="8">
        <v>43056.601504629631</v>
      </c>
      <c r="M536" s="21">
        <f>LEN(ProjTextTable[[#This Row],[text]])</f>
        <v>3349</v>
      </c>
      <c r="N536" s="21">
        <f>LEN(TRIM(CLEAN(SUBSTITUTE(ProjTextTable[[#This Row],[text]],CHAR(10)," "))))+1 - LEN(SUBSTITUTE(CLEAN(SUBSTITUTE(ProjTextTable[[#This Row],[text]],CHAR(10)," "))," ",""))</f>
        <v>522</v>
      </c>
      <c r="O536" t="s">
        <v>199</v>
      </c>
      <c r="P536" t="s">
        <v>1657</v>
      </c>
    </row>
    <row r="537" spans="1:16">
      <c r="A537">
        <f t="shared" si="8"/>
        <v>83</v>
      </c>
      <c r="B537" t="s">
        <v>1654</v>
      </c>
      <c r="C537" t="s">
        <v>1655</v>
      </c>
      <c r="D537" t="s">
        <v>194</v>
      </c>
      <c r="E537" t="s">
        <v>543</v>
      </c>
      <c r="F537" t="s">
        <v>626</v>
      </c>
      <c r="G537" t="s">
        <v>627</v>
      </c>
      <c r="H537" t="s">
        <v>628</v>
      </c>
      <c r="I537" t="s">
        <v>209</v>
      </c>
      <c r="J537" t="s">
        <v>176</v>
      </c>
      <c r="K537" s="30">
        <v>43060</v>
      </c>
      <c r="L537" s="8">
        <v>43059.263854166667</v>
      </c>
      <c r="M537" s="21">
        <f>LEN(ProjTextTable[[#This Row],[text]])</f>
        <v>1841</v>
      </c>
      <c r="N537" s="21">
        <f>LEN(TRIM(CLEAN(SUBSTITUTE(ProjTextTable[[#This Row],[text]],CHAR(10)," "))))+1 - LEN(SUBSTITUTE(CLEAN(SUBSTITUTE(ProjTextTable[[#This Row],[text]],CHAR(10)," "))," ",""))</f>
        <v>267</v>
      </c>
      <c r="O537" t="s">
        <v>199</v>
      </c>
      <c r="P537" t="s">
        <v>1658</v>
      </c>
    </row>
    <row r="538" spans="1:16">
      <c r="A538">
        <f t="shared" si="8"/>
        <v>83</v>
      </c>
      <c r="B538" t="s">
        <v>1654</v>
      </c>
      <c r="C538" t="s">
        <v>1655</v>
      </c>
      <c r="D538" t="s">
        <v>194</v>
      </c>
      <c r="E538" t="s">
        <v>543</v>
      </c>
      <c r="F538" t="s">
        <v>634</v>
      </c>
      <c r="G538" t="s">
        <v>635</v>
      </c>
      <c r="H538" t="s">
        <v>636</v>
      </c>
      <c r="I538" t="s">
        <v>209</v>
      </c>
      <c r="J538" t="s">
        <v>176</v>
      </c>
      <c r="K538" s="30">
        <v>43060</v>
      </c>
      <c r="L538" s="8">
        <v>43060.388043981482</v>
      </c>
      <c r="M538" s="21">
        <f>LEN(ProjTextTable[[#This Row],[text]])</f>
        <v>4900</v>
      </c>
      <c r="N538" s="21">
        <f>LEN(TRIM(CLEAN(SUBSTITUTE(ProjTextTable[[#This Row],[text]],CHAR(10)," "))))+1 - LEN(SUBSTITUTE(CLEAN(SUBSTITUTE(ProjTextTable[[#This Row],[text]],CHAR(10)," "))," ",""))</f>
        <v>756</v>
      </c>
      <c r="O538" t="s">
        <v>202</v>
      </c>
      <c r="P538" t="s">
        <v>1659</v>
      </c>
    </row>
    <row r="539" spans="1:16">
      <c r="A539">
        <f t="shared" si="8"/>
        <v>83</v>
      </c>
      <c r="B539" t="s">
        <v>1654</v>
      </c>
      <c r="C539" t="s">
        <v>1655</v>
      </c>
      <c r="D539" t="s">
        <v>194</v>
      </c>
      <c r="E539" t="s">
        <v>543</v>
      </c>
      <c r="F539" t="s">
        <v>1660</v>
      </c>
      <c r="G539" t="s">
        <v>1661</v>
      </c>
      <c r="H539" t="s">
        <v>1662</v>
      </c>
      <c r="I539" t="s">
        <v>209</v>
      </c>
      <c r="J539" t="s">
        <v>176</v>
      </c>
      <c r="K539" s="30">
        <v>43060</v>
      </c>
      <c r="L539" s="8">
        <v>43060.566712962966</v>
      </c>
      <c r="M539" s="21">
        <f>LEN(ProjTextTable[[#This Row],[text]])</f>
        <v>4193</v>
      </c>
      <c r="N539" s="21">
        <f>LEN(TRIM(CLEAN(SUBSTITUTE(ProjTextTable[[#This Row],[text]],CHAR(10)," "))))+1 - LEN(SUBSTITUTE(CLEAN(SUBSTITUTE(ProjTextTable[[#This Row],[text]],CHAR(10)," "))," ",""))</f>
        <v>646</v>
      </c>
      <c r="O539" t="s">
        <v>251</v>
      </c>
      <c r="P539" t="s">
        <v>1663</v>
      </c>
    </row>
    <row r="540" spans="1:16">
      <c r="A540">
        <f t="shared" si="8"/>
        <v>83</v>
      </c>
      <c r="B540" t="s">
        <v>1654</v>
      </c>
      <c r="C540" t="s">
        <v>1655</v>
      </c>
      <c r="D540" t="s">
        <v>196</v>
      </c>
      <c r="E540" t="s">
        <v>543</v>
      </c>
      <c r="F540" t="s">
        <v>13</v>
      </c>
      <c r="G540" t="s">
        <v>13</v>
      </c>
      <c r="H540" t="s">
        <v>13</v>
      </c>
      <c r="K540" s="30"/>
      <c r="L540" s="8">
        <v>42936.043368055558</v>
      </c>
      <c r="M540" s="21">
        <f>LEN(ProjTextTable[[#This Row],[text]])</f>
        <v>4057</v>
      </c>
      <c r="N540" s="21">
        <f>LEN(TRIM(CLEAN(SUBSTITUTE(ProjTextTable[[#This Row],[text]],CHAR(10)," "))))+1 - LEN(SUBSTITUTE(CLEAN(SUBSTITUTE(ProjTextTable[[#This Row],[text]],CHAR(10)," "))," ",""))</f>
        <v>597</v>
      </c>
      <c r="O540" t="s">
        <v>13</v>
      </c>
      <c r="P540" t="s">
        <v>1664</v>
      </c>
    </row>
    <row r="541" spans="1:16">
      <c r="A541">
        <f t="shared" si="8"/>
        <v>84</v>
      </c>
      <c r="B541" t="s">
        <v>1665</v>
      </c>
      <c r="C541" t="s">
        <v>1666</v>
      </c>
      <c r="D541" t="s">
        <v>205</v>
      </c>
      <c r="E541" t="s">
        <v>543</v>
      </c>
      <c r="F541" t="s">
        <v>619</v>
      </c>
      <c r="G541" t="s">
        <v>620</v>
      </c>
      <c r="H541" t="s">
        <v>207</v>
      </c>
      <c r="I541" t="s">
        <v>197</v>
      </c>
      <c r="J541" t="s">
        <v>200</v>
      </c>
      <c r="K541" s="30">
        <v>43059</v>
      </c>
      <c r="L541" s="8"/>
      <c r="M541" s="21">
        <f>LEN(ProjTextTable[[#This Row],[text]])</f>
        <v>2023</v>
      </c>
      <c r="N541" s="21">
        <f>LEN(TRIM(CLEAN(SUBSTITUTE(ProjTextTable[[#This Row],[text]],CHAR(10)," "))))+1 - LEN(SUBSTITUTE(CLEAN(SUBSTITUTE(ProjTextTable[[#This Row],[text]],CHAR(10)," "))," ",""))</f>
        <v>298</v>
      </c>
      <c r="O541" t="s">
        <v>208</v>
      </c>
      <c r="P541" t="s">
        <v>1667</v>
      </c>
    </row>
    <row r="542" spans="1:16">
      <c r="A542">
        <f t="shared" si="8"/>
        <v>84</v>
      </c>
      <c r="B542" t="s">
        <v>1665</v>
      </c>
      <c r="C542" t="s">
        <v>1666</v>
      </c>
      <c r="D542" t="s">
        <v>205</v>
      </c>
      <c r="E542" t="s">
        <v>1668</v>
      </c>
      <c r="F542" t="s">
        <v>1669</v>
      </c>
      <c r="G542" t="s">
        <v>1670</v>
      </c>
      <c r="H542" t="s">
        <v>249</v>
      </c>
      <c r="I542" t="s">
        <v>193</v>
      </c>
      <c r="J542" t="s">
        <v>396</v>
      </c>
      <c r="K542" s="30">
        <v>43045</v>
      </c>
      <c r="L542" s="8"/>
      <c r="M542" s="21">
        <f>LEN(ProjTextTable[[#This Row],[text]])</f>
        <v>2544</v>
      </c>
      <c r="N542" s="21">
        <f>LEN(TRIM(CLEAN(SUBSTITUTE(ProjTextTable[[#This Row],[text]],CHAR(10)," "))))+1 - LEN(SUBSTITUTE(CLEAN(SUBSTITUTE(ProjTextTable[[#This Row],[text]],CHAR(10)," "))," ",""))</f>
        <v>374</v>
      </c>
      <c r="O542" t="s">
        <v>248</v>
      </c>
      <c r="P542" t="s">
        <v>1671</v>
      </c>
    </row>
    <row r="543" spans="1:16">
      <c r="A543">
        <f t="shared" si="8"/>
        <v>84</v>
      </c>
      <c r="B543" t="s">
        <v>1665</v>
      </c>
      <c r="C543" t="s">
        <v>1666</v>
      </c>
      <c r="D543" t="s">
        <v>194</v>
      </c>
      <c r="E543" t="s">
        <v>543</v>
      </c>
      <c r="F543" t="s">
        <v>1672</v>
      </c>
      <c r="G543" t="s">
        <v>1673</v>
      </c>
      <c r="H543" t="s">
        <v>1674</v>
      </c>
      <c r="I543" t="s">
        <v>209</v>
      </c>
      <c r="J543" t="s">
        <v>176</v>
      </c>
      <c r="K543" s="30">
        <v>43046</v>
      </c>
      <c r="L543" s="8">
        <v>43039.371203703704</v>
      </c>
      <c r="M543" s="21">
        <f>LEN(ProjTextTable[[#This Row],[text]])</f>
        <v>2609</v>
      </c>
      <c r="N543" s="21">
        <f>LEN(TRIM(CLEAN(SUBSTITUTE(ProjTextTable[[#This Row],[text]],CHAR(10)," "))))+1 - LEN(SUBSTITUTE(CLEAN(SUBSTITUTE(ProjTextTable[[#This Row],[text]],CHAR(10)," "))," ",""))</f>
        <v>396</v>
      </c>
      <c r="O543" t="s">
        <v>195</v>
      </c>
      <c r="P543" t="s">
        <v>1675</v>
      </c>
    </row>
    <row r="544" spans="1:16">
      <c r="A544">
        <f t="shared" si="8"/>
        <v>84</v>
      </c>
      <c r="B544" t="s">
        <v>1665</v>
      </c>
      <c r="C544" t="s">
        <v>1666</v>
      </c>
      <c r="D544" t="s">
        <v>194</v>
      </c>
      <c r="E544" t="s">
        <v>543</v>
      </c>
      <c r="F544" t="s">
        <v>1676</v>
      </c>
      <c r="G544" t="s">
        <v>1677</v>
      </c>
      <c r="H544" t="s">
        <v>1678</v>
      </c>
      <c r="I544" t="s">
        <v>209</v>
      </c>
      <c r="J544" t="s">
        <v>176</v>
      </c>
      <c r="K544" s="30">
        <v>43046</v>
      </c>
      <c r="L544" s="8">
        <v>43045.334178240744</v>
      </c>
      <c r="M544" s="21">
        <f>LEN(ProjTextTable[[#This Row],[text]])</f>
        <v>3283</v>
      </c>
      <c r="N544" s="21">
        <f>LEN(TRIM(CLEAN(SUBSTITUTE(ProjTextTable[[#This Row],[text]],CHAR(10)," "))))+1 - LEN(SUBSTITUTE(CLEAN(SUBSTITUTE(ProjTextTable[[#This Row],[text]],CHAR(10)," "))," ",""))</f>
        <v>503</v>
      </c>
      <c r="O544" t="s">
        <v>202</v>
      </c>
      <c r="P544" t="s">
        <v>1679</v>
      </c>
    </row>
    <row r="545" spans="1:16">
      <c r="A545">
        <f t="shared" si="8"/>
        <v>84</v>
      </c>
      <c r="B545" t="s">
        <v>1665</v>
      </c>
      <c r="C545" t="s">
        <v>1666</v>
      </c>
      <c r="D545" t="s">
        <v>194</v>
      </c>
      <c r="E545" t="s">
        <v>543</v>
      </c>
      <c r="F545" t="s">
        <v>1680</v>
      </c>
      <c r="G545" t="s">
        <v>1681</v>
      </c>
      <c r="H545" t="s">
        <v>1682</v>
      </c>
      <c r="I545" t="s">
        <v>209</v>
      </c>
      <c r="J545" t="s">
        <v>176</v>
      </c>
      <c r="K545" s="30">
        <v>43046</v>
      </c>
      <c r="L545" s="8">
        <v>43045.366435185184</v>
      </c>
      <c r="M545" s="21">
        <f>LEN(ProjTextTable[[#This Row],[text]])</f>
        <v>1887</v>
      </c>
      <c r="N545" s="21">
        <f>LEN(TRIM(CLEAN(SUBSTITUTE(ProjTextTable[[#This Row],[text]],CHAR(10)," "))))+1 - LEN(SUBSTITUTE(CLEAN(SUBSTITUTE(ProjTextTable[[#This Row],[text]],CHAR(10)," "))," ",""))</f>
        <v>287</v>
      </c>
      <c r="O545" t="s">
        <v>195</v>
      </c>
      <c r="P545" t="s">
        <v>1683</v>
      </c>
    </row>
    <row r="546" spans="1:16">
      <c r="A546">
        <f t="shared" si="8"/>
        <v>84</v>
      </c>
      <c r="B546" t="s">
        <v>1665</v>
      </c>
      <c r="C546" t="s">
        <v>1666</v>
      </c>
      <c r="D546" t="s">
        <v>194</v>
      </c>
      <c r="E546" t="s">
        <v>543</v>
      </c>
      <c r="F546" t="s">
        <v>1684</v>
      </c>
      <c r="G546" t="s">
        <v>1685</v>
      </c>
      <c r="H546" t="s">
        <v>1686</v>
      </c>
      <c r="I546" t="s">
        <v>209</v>
      </c>
      <c r="J546" t="s">
        <v>176</v>
      </c>
      <c r="K546" s="30">
        <v>43046</v>
      </c>
      <c r="L546" s="8">
        <v>43045.65662037037</v>
      </c>
      <c r="M546" s="21">
        <f>LEN(ProjTextTable[[#This Row],[text]])</f>
        <v>2392</v>
      </c>
      <c r="N546" s="21">
        <f>LEN(TRIM(CLEAN(SUBSTITUTE(ProjTextTable[[#This Row],[text]],CHAR(10)," "))))+1 - LEN(SUBSTITUTE(CLEAN(SUBSTITUTE(ProjTextTable[[#This Row],[text]],CHAR(10)," "))," ",""))</f>
        <v>342</v>
      </c>
      <c r="O546" t="s">
        <v>195</v>
      </c>
      <c r="P546" t="s">
        <v>1687</v>
      </c>
    </row>
    <row r="547" spans="1:16">
      <c r="A547">
        <f t="shared" si="8"/>
        <v>84</v>
      </c>
      <c r="B547" t="s">
        <v>1665</v>
      </c>
      <c r="C547" t="s">
        <v>1666</v>
      </c>
      <c r="D547" t="s">
        <v>194</v>
      </c>
      <c r="E547" t="s">
        <v>543</v>
      </c>
      <c r="F547" t="s">
        <v>1507</v>
      </c>
      <c r="G547" t="s">
        <v>1508</v>
      </c>
      <c r="H547" t="s">
        <v>1509</v>
      </c>
      <c r="I547" t="s">
        <v>209</v>
      </c>
      <c r="J547" t="s">
        <v>176</v>
      </c>
      <c r="K547" s="30">
        <v>43060</v>
      </c>
      <c r="L547" s="8">
        <v>43058.898796296293</v>
      </c>
      <c r="M547" s="21">
        <f>LEN(ProjTextTable[[#This Row],[text]])</f>
        <v>3537</v>
      </c>
      <c r="N547" s="21">
        <f>LEN(TRIM(CLEAN(SUBSTITUTE(ProjTextTable[[#This Row],[text]],CHAR(10)," "))))+1 - LEN(SUBSTITUTE(CLEAN(SUBSTITUTE(ProjTextTable[[#This Row],[text]],CHAR(10)," "))," ",""))</f>
        <v>508</v>
      </c>
      <c r="O547" t="s">
        <v>199</v>
      </c>
      <c r="P547" t="s">
        <v>1688</v>
      </c>
    </row>
    <row r="548" spans="1:16">
      <c r="A548">
        <f t="shared" si="8"/>
        <v>84</v>
      </c>
      <c r="B548" t="s">
        <v>1665</v>
      </c>
      <c r="C548" t="s">
        <v>1666</v>
      </c>
      <c r="D548" t="s">
        <v>194</v>
      </c>
      <c r="E548" t="s">
        <v>543</v>
      </c>
      <c r="F548" t="s">
        <v>1552</v>
      </c>
      <c r="G548" t="s">
        <v>1553</v>
      </c>
      <c r="H548" t="s">
        <v>1554</v>
      </c>
      <c r="I548" t="s">
        <v>209</v>
      </c>
      <c r="J548" t="s">
        <v>176</v>
      </c>
      <c r="K548" s="30">
        <v>43060</v>
      </c>
      <c r="L548" s="8">
        <v>43059.575960648152</v>
      </c>
      <c r="M548" s="21">
        <f>LEN(ProjTextTable[[#This Row],[text]])</f>
        <v>1643</v>
      </c>
      <c r="N548" s="21">
        <f>LEN(TRIM(CLEAN(SUBSTITUTE(ProjTextTable[[#This Row],[text]],CHAR(10)," "))))+1 - LEN(SUBSTITUTE(CLEAN(SUBSTITUTE(ProjTextTable[[#This Row],[text]],CHAR(10)," "))," ",""))</f>
        <v>246</v>
      </c>
      <c r="O548" t="s">
        <v>251</v>
      </c>
      <c r="P548" t="s">
        <v>1689</v>
      </c>
    </row>
    <row r="549" spans="1:16">
      <c r="A549">
        <f t="shared" si="8"/>
        <v>84</v>
      </c>
      <c r="B549" t="s">
        <v>1665</v>
      </c>
      <c r="C549" t="s">
        <v>1666</v>
      </c>
      <c r="D549" t="s">
        <v>194</v>
      </c>
      <c r="E549" t="s">
        <v>543</v>
      </c>
      <c r="F549" t="s">
        <v>1565</v>
      </c>
      <c r="G549" t="s">
        <v>1566</v>
      </c>
      <c r="H549" t="s">
        <v>1567</v>
      </c>
      <c r="I549" t="s">
        <v>209</v>
      </c>
      <c r="J549" t="s">
        <v>176</v>
      </c>
      <c r="K549" s="30">
        <v>43060</v>
      </c>
      <c r="L549" s="8">
        <v>43059.047349537039</v>
      </c>
      <c r="M549" s="21">
        <f>LEN(ProjTextTable[[#This Row],[text]])</f>
        <v>3020</v>
      </c>
      <c r="N549" s="21">
        <f>LEN(TRIM(CLEAN(SUBSTITUTE(ProjTextTable[[#This Row],[text]],CHAR(10)," "))))+1 - LEN(SUBSTITUTE(CLEAN(SUBSTITUTE(ProjTextTable[[#This Row],[text]],CHAR(10)," "))," ",""))</f>
        <v>470</v>
      </c>
      <c r="O549" t="s">
        <v>199</v>
      </c>
      <c r="P549" t="s">
        <v>1690</v>
      </c>
    </row>
    <row r="550" spans="1:16">
      <c r="A550">
        <f t="shared" si="8"/>
        <v>84</v>
      </c>
      <c r="B550" t="s">
        <v>1665</v>
      </c>
      <c r="C550" t="s">
        <v>1666</v>
      </c>
      <c r="D550" t="s">
        <v>194</v>
      </c>
      <c r="E550" t="s">
        <v>543</v>
      </c>
      <c r="F550" t="s">
        <v>1691</v>
      </c>
      <c r="G550" t="s">
        <v>1692</v>
      </c>
      <c r="H550" t="s">
        <v>1693</v>
      </c>
      <c r="I550" t="s">
        <v>209</v>
      </c>
      <c r="J550" t="s">
        <v>176</v>
      </c>
      <c r="K550" s="30">
        <v>43046</v>
      </c>
      <c r="L550" s="8">
        <v>43046.353425925925</v>
      </c>
      <c r="M550" s="21">
        <f>LEN(ProjTextTable[[#This Row],[text]])</f>
        <v>2701</v>
      </c>
      <c r="N550" s="21">
        <f>LEN(TRIM(CLEAN(SUBSTITUTE(ProjTextTable[[#This Row],[text]],CHAR(10)," "))))+1 - LEN(SUBSTITUTE(CLEAN(SUBSTITUTE(ProjTextTable[[#This Row],[text]],CHAR(10)," "))," ",""))</f>
        <v>410</v>
      </c>
      <c r="O550" t="s">
        <v>195</v>
      </c>
      <c r="P550" t="s">
        <v>1694</v>
      </c>
    </row>
    <row r="551" spans="1:16">
      <c r="A551">
        <f t="shared" si="8"/>
        <v>84</v>
      </c>
      <c r="B551" t="s">
        <v>1665</v>
      </c>
      <c r="C551" t="s">
        <v>1666</v>
      </c>
      <c r="D551" t="s">
        <v>194</v>
      </c>
      <c r="E551" t="s">
        <v>543</v>
      </c>
      <c r="F551" t="s">
        <v>1556</v>
      </c>
      <c r="G551" t="s">
        <v>1557</v>
      </c>
      <c r="H551" t="s">
        <v>1558</v>
      </c>
      <c r="I551" t="s">
        <v>209</v>
      </c>
      <c r="J551" t="s">
        <v>176</v>
      </c>
      <c r="K551" s="30">
        <v>43060</v>
      </c>
      <c r="L551" s="8">
        <v>43056.620196759257</v>
      </c>
      <c r="M551" s="21">
        <f>LEN(ProjTextTable[[#This Row],[text]])</f>
        <v>1195</v>
      </c>
      <c r="N551" s="21">
        <f>LEN(TRIM(CLEAN(SUBSTITUTE(ProjTextTable[[#This Row],[text]],CHAR(10)," "))))+1 - LEN(SUBSTITUTE(CLEAN(SUBSTITUTE(ProjTextTable[[#This Row],[text]],CHAR(10)," "))," ",""))</f>
        <v>174</v>
      </c>
      <c r="O551" t="s">
        <v>199</v>
      </c>
      <c r="P551" t="s">
        <v>1695</v>
      </c>
    </row>
    <row r="552" spans="1:16">
      <c r="A552">
        <f t="shared" si="8"/>
        <v>84</v>
      </c>
      <c r="B552" t="s">
        <v>1665</v>
      </c>
      <c r="C552" t="s">
        <v>1666</v>
      </c>
      <c r="D552" t="s">
        <v>196</v>
      </c>
      <c r="E552" t="s">
        <v>543</v>
      </c>
      <c r="F552" t="s">
        <v>13</v>
      </c>
      <c r="G552" t="s">
        <v>13</v>
      </c>
      <c r="H552" t="s">
        <v>13</v>
      </c>
      <c r="K552" s="30"/>
      <c r="L552" s="8">
        <v>42936.043391203704</v>
      </c>
      <c r="M552" s="21">
        <f>LEN(ProjTextTable[[#This Row],[text]])</f>
        <v>3483</v>
      </c>
      <c r="N552" s="21">
        <f>LEN(TRIM(CLEAN(SUBSTITUTE(ProjTextTable[[#This Row],[text]],CHAR(10)," "))))+1 - LEN(SUBSTITUTE(CLEAN(SUBSTITUTE(ProjTextTable[[#This Row],[text]],CHAR(10)," "))," ",""))</f>
        <v>486</v>
      </c>
      <c r="O552" t="s">
        <v>13</v>
      </c>
      <c r="P552" t="s">
        <v>1696</v>
      </c>
    </row>
    <row r="553" spans="1:16">
      <c r="A553">
        <f t="shared" si="8"/>
        <v>85</v>
      </c>
      <c r="B553" t="s">
        <v>1697</v>
      </c>
      <c r="C553" t="s">
        <v>1698</v>
      </c>
      <c r="D553" t="s">
        <v>205</v>
      </c>
      <c r="E553" t="s">
        <v>543</v>
      </c>
      <c r="F553" t="s">
        <v>544</v>
      </c>
      <c r="G553" t="s">
        <v>545</v>
      </c>
      <c r="H553" t="s">
        <v>249</v>
      </c>
      <c r="I553" t="s">
        <v>193</v>
      </c>
      <c r="J553" t="s">
        <v>566</v>
      </c>
      <c r="K553" s="30">
        <v>43031</v>
      </c>
      <c r="L553" s="8">
        <v>43075.738043981481</v>
      </c>
      <c r="M553" s="21">
        <f>LEN(ProjTextTable[[#This Row],[text]])</f>
        <v>3384</v>
      </c>
      <c r="N553" s="21">
        <f>LEN(TRIM(CLEAN(SUBSTITUTE(ProjTextTable[[#This Row],[text]],CHAR(10)," "))))+1 - LEN(SUBSTITUTE(CLEAN(SUBSTITUTE(ProjTextTable[[#This Row],[text]],CHAR(10)," "))," ",""))</f>
        <v>497</v>
      </c>
      <c r="O553" t="s">
        <v>248</v>
      </c>
      <c r="P553" t="s">
        <v>1699</v>
      </c>
    </row>
    <row r="554" spans="1:16">
      <c r="A554">
        <f t="shared" si="8"/>
        <v>85</v>
      </c>
      <c r="B554" t="s">
        <v>1697</v>
      </c>
      <c r="C554" t="s">
        <v>1698</v>
      </c>
      <c r="D554" t="s">
        <v>194</v>
      </c>
      <c r="E554" t="s">
        <v>543</v>
      </c>
      <c r="F554" t="s">
        <v>650</v>
      </c>
      <c r="G554" t="s">
        <v>651</v>
      </c>
      <c r="H554" t="s">
        <v>652</v>
      </c>
      <c r="I554" t="s">
        <v>209</v>
      </c>
      <c r="J554" t="s">
        <v>176</v>
      </c>
      <c r="K554" s="30">
        <v>43032</v>
      </c>
      <c r="L554" s="8">
        <v>43030.881342592591</v>
      </c>
      <c r="M554" s="21">
        <f>LEN(ProjTextTable[[#This Row],[text]])</f>
        <v>2806</v>
      </c>
      <c r="N554" s="21">
        <f>LEN(TRIM(CLEAN(SUBSTITUTE(ProjTextTable[[#This Row],[text]],CHAR(10)," "))))+1 - LEN(SUBSTITUTE(CLEAN(SUBSTITUTE(ProjTextTable[[#This Row],[text]],CHAR(10)," "))," ",""))</f>
        <v>425</v>
      </c>
      <c r="O554" t="s">
        <v>199</v>
      </c>
      <c r="P554" t="s">
        <v>1700</v>
      </c>
    </row>
    <row r="555" spans="1:16">
      <c r="A555">
        <f t="shared" si="8"/>
        <v>85</v>
      </c>
      <c r="B555" t="s">
        <v>1697</v>
      </c>
      <c r="C555" t="s">
        <v>1698</v>
      </c>
      <c r="D555" t="s">
        <v>194</v>
      </c>
      <c r="E555" t="s">
        <v>543</v>
      </c>
      <c r="F555" t="s">
        <v>548</v>
      </c>
      <c r="G555" t="s">
        <v>549</v>
      </c>
      <c r="H555" t="s">
        <v>550</v>
      </c>
      <c r="I555" t="s">
        <v>209</v>
      </c>
      <c r="J555" t="s">
        <v>176</v>
      </c>
      <c r="K555" s="30">
        <v>43032</v>
      </c>
      <c r="L555" s="8">
        <v>43031.585636574076</v>
      </c>
      <c r="M555" s="21">
        <f>LEN(ProjTextTable[[#This Row],[text]])</f>
        <v>3764</v>
      </c>
      <c r="N555" s="21">
        <f>LEN(TRIM(CLEAN(SUBSTITUTE(ProjTextTable[[#This Row],[text]],CHAR(10)," "))))+1 - LEN(SUBSTITUTE(CLEAN(SUBSTITUTE(ProjTextTable[[#This Row],[text]],CHAR(10)," "))," ",""))</f>
        <v>592</v>
      </c>
      <c r="O555" t="s">
        <v>202</v>
      </c>
      <c r="P555" t="s">
        <v>1701</v>
      </c>
    </row>
    <row r="556" spans="1:16">
      <c r="A556">
        <f t="shared" si="8"/>
        <v>85</v>
      </c>
      <c r="B556" t="s">
        <v>1697</v>
      </c>
      <c r="C556" t="s">
        <v>1698</v>
      </c>
      <c r="D556" t="s">
        <v>194</v>
      </c>
      <c r="E556" t="s">
        <v>543</v>
      </c>
      <c r="F556" t="s">
        <v>556</v>
      </c>
      <c r="G556" t="s">
        <v>557</v>
      </c>
      <c r="H556" t="s">
        <v>558</v>
      </c>
      <c r="I556" t="s">
        <v>209</v>
      </c>
      <c r="J556" t="s">
        <v>176</v>
      </c>
      <c r="K556" s="30">
        <v>43032</v>
      </c>
      <c r="L556" s="8">
        <v>43030.737314814818</v>
      </c>
      <c r="M556" s="21">
        <f>LEN(ProjTextTable[[#This Row],[text]])</f>
        <v>2838</v>
      </c>
      <c r="N556" s="21">
        <f>LEN(TRIM(CLEAN(SUBSTITUTE(ProjTextTable[[#This Row],[text]],CHAR(10)," "))))+1 - LEN(SUBSTITUTE(CLEAN(SUBSTITUTE(ProjTextTable[[#This Row],[text]],CHAR(10)," "))," ",""))</f>
        <v>429</v>
      </c>
      <c r="O556" t="s">
        <v>198</v>
      </c>
      <c r="P556" t="s">
        <v>1702</v>
      </c>
    </row>
    <row r="557" spans="1:16">
      <c r="A557">
        <f t="shared" si="8"/>
        <v>85</v>
      </c>
      <c r="B557" t="s">
        <v>1697</v>
      </c>
      <c r="C557" t="s">
        <v>1698</v>
      </c>
      <c r="D557" t="s">
        <v>194</v>
      </c>
      <c r="E557" t="s">
        <v>543</v>
      </c>
      <c r="F557" t="s">
        <v>591</v>
      </c>
      <c r="G557" t="s">
        <v>592</v>
      </c>
      <c r="H557" t="s">
        <v>593</v>
      </c>
      <c r="I557" t="s">
        <v>209</v>
      </c>
      <c r="J557" t="s">
        <v>176</v>
      </c>
      <c r="K557" s="30">
        <v>43032</v>
      </c>
      <c r="L557" s="8">
        <v>43032.487256944441</v>
      </c>
      <c r="M557" s="21">
        <f>LEN(ProjTextTable[[#This Row],[text]])</f>
        <v>1564</v>
      </c>
      <c r="N557" s="21">
        <f>LEN(TRIM(CLEAN(SUBSTITUTE(ProjTextTable[[#This Row],[text]],CHAR(10)," "))))+1 - LEN(SUBSTITUTE(CLEAN(SUBSTITUTE(ProjTextTable[[#This Row],[text]],CHAR(10)," "))," ",""))</f>
        <v>236</v>
      </c>
      <c r="O557" t="s">
        <v>195</v>
      </c>
      <c r="P557" t="s">
        <v>1703</v>
      </c>
    </row>
    <row r="558" spans="1:16">
      <c r="A558">
        <f t="shared" si="8"/>
        <v>85</v>
      </c>
      <c r="B558" t="s">
        <v>1697</v>
      </c>
      <c r="C558" t="s">
        <v>1698</v>
      </c>
      <c r="D558" t="s">
        <v>196</v>
      </c>
      <c r="E558" t="s">
        <v>1530</v>
      </c>
      <c r="F558" t="s">
        <v>13</v>
      </c>
      <c r="G558" t="s">
        <v>13</v>
      </c>
      <c r="H558" t="s">
        <v>13</v>
      </c>
      <c r="K558" s="30"/>
      <c r="L558" s="8">
        <v>42936.043437499997</v>
      </c>
      <c r="M558" s="21">
        <f>LEN(ProjTextTable[[#This Row],[text]])</f>
        <v>3137</v>
      </c>
      <c r="N558" s="21">
        <f>LEN(TRIM(CLEAN(SUBSTITUTE(ProjTextTable[[#This Row],[text]],CHAR(10)," "))))+1 - LEN(SUBSTITUTE(CLEAN(SUBSTITUTE(ProjTextTable[[#This Row],[text]],CHAR(10)," "))," ",""))</f>
        <v>455</v>
      </c>
      <c r="O558" t="s">
        <v>13</v>
      </c>
      <c r="P558" t="s">
        <v>1704</v>
      </c>
    </row>
    <row r="559" spans="1:16">
      <c r="A559">
        <f t="shared" si="8"/>
        <v>86</v>
      </c>
      <c r="B559" t="s">
        <v>1705</v>
      </c>
      <c r="C559" t="s">
        <v>1706</v>
      </c>
      <c r="D559" t="s">
        <v>205</v>
      </c>
      <c r="E559" t="s">
        <v>543</v>
      </c>
      <c r="F559" t="s">
        <v>619</v>
      </c>
      <c r="G559" t="s">
        <v>620</v>
      </c>
      <c r="H559" t="s">
        <v>245</v>
      </c>
      <c r="I559" t="s">
        <v>95</v>
      </c>
      <c r="J559" t="s">
        <v>95</v>
      </c>
      <c r="K559" s="30">
        <v>43059</v>
      </c>
      <c r="L559" s="8"/>
      <c r="M559" s="21">
        <f>LEN(ProjTextTable[[#This Row],[text]])</f>
        <v>3120</v>
      </c>
      <c r="N559" s="21">
        <f>LEN(TRIM(CLEAN(SUBSTITUTE(ProjTextTable[[#This Row],[text]],CHAR(10)," "))))+1 - LEN(SUBSTITUTE(CLEAN(SUBSTITUTE(ProjTextTable[[#This Row],[text]],CHAR(10)," "))," ",""))</f>
        <v>431</v>
      </c>
      <c r="O559" t="s">
        <v>243</v>
      </c>
      <c r="P559" t="s">
        <v>1707</v>
      </c>
    </row>
    <row r="560" spans="1:16">
      <c r="A560">
        <f t="shared" si="8"/>
        <v>86</v>
      </c>
      <c r="B560" t="s">
        <v>1705</v>
      </c>
      <c r="C560" t="s">
        <v>1706</v>
      </c>
      <c r="D560" t="s">
        <v>194</v>
      </c>
      <c r="E560" t="s">
        <v>543</v>
      </c>
      <c r="F560" t="s">
        <v>622</v>
      </c>
      <c r="G560" t="s">
        <v>623</v>
      </c>
      <c r="H560" t="s">
        <v>624</v>
      </c>
      <c r="I560" t="s">
        <v>209</v>
      </c>
      <c r="J560" t="s">
        <v>176</v>
      </c>
      <c r="K560" s="30">
        <v>43060</v>
      </c>
      <c r="L560" s="8">
        <v>43057.820625</v>
      </c>
      <c r="M560" s="21">
        <f>LEN(ProjTextTable[[#This Row],[text]])</f>
        <v>1894</v>
      </c>
      <c r="N560" s="21">
        <f>LEN(TRIM(CLEAN(SUBSTITUTE(ProjTextTable[[#This Row],[text]],CHAR(10)," "))))+1 - LEN(SUBSTITUTE(CLEAN(SUBSTITUTE(ProjTextTable[[#This Row],[text]],CHAR(10)," "))," ",""))</f>
        <v>277</v>
      </c>
      <c r="O560" t="s">
        <v>251</v>
      </c>
      <c r="P560" t="s">
        <v>1708</v>
      </c>
    </row>
    <row r="561" spans="1:16">
      <c r="A561">
        <f t="shared" si="8"/>
        <v>86</v>
      </c>
      <c r="B561" t="s">
        <v>1705</v>
      </c>
      <c r="C561" t="s">
        <v>1706</v>
      </c>
      <c r="D561" t="s">
        <v>194</v>
      </c>
      <c r="E561" t="s">
        <v>543</v>
      </c>
      <c r="F561" t="s">
        <v>626</v>
      </c>
      <c r="G561" t="s">
        <v>627</v>
      </c>
      <c r="H561" t="s">
        <v>628</v>
      </c>
      <c r="I561" t="s">
        <v>209</v>
      </c>
      <c r="J561" t="s">
        <v>176</v>
      </c>
      <c r="K561" s="30">
        <v>43060</v>
      </c>
      <c r="L561" s="8">
        <v>43059.226273148146</v>
      </c>
      <c r="M561" s="21">
        <f>LEN(ProjTextTable[[#This Row],[text]])</f>
        <v>1618</v>
      </c>
      <c r="N561" s="21">
        <f>LEN(TRIM(CLEAN(SUBSTITUTE(ProjTextTable[[#This Row],[text]],CHAR(10)," "))))+1 - LEN(SUBSTITUTE(CLEAN(SUBSTITUTE(ProjTextTable[[#This Row],[text]],CHAR(10)," "))," ",""))</f>
        <v>230</v>
      </c>
      <c r="O561" t="s">
        <v>251</v>
      </c>
      <c r="P561" t="s">
        <v>1709</v>
      </c>
    </row>
    <row r="562" spans="1:16">
      <c r="A562">
        <f t="shared" si="8"/>
        <v>86</v>
      </c>
      <c r="B562" t="s">
        <v>1705</v>
      </c>
      <c r="C562" t="s">
        <v>1706</v>
      </c>
      <c r="D562" t="s">
        <v>194</v>
      </c>
      <c r="E562" t="s">
        <v>543</v>
      </c>
      <c r="F562" t="s">
        <v>630</v>
      </c>
      <c r="G562" t="s">
        <v>631</v>
      </c>
      <c r="H562" t="s">
        <v>632</v>
      </c>
      <c r="I562" t="s">
        <v>209</v>
      </c>
      <c r="J562" t="s">
        <v>176</v>
      </c>
      <c r="K562" s="30">
        <v>43060</v>
      </c>
      <c r="L562" s="8">
        <v>43056.434490740743</v>
      </c>
      <c r="M562" s="21">
        <f>LEN(ProjTextTable[[#This Row],[text]])</f>
        <v>3602</v>
      </c>
      <c r="N562" s="21">
        <f>LEN(TRIM(CLEAN(SUBSTITUTE(ProjTextTable[[#This Row],[text]],CHAR(10)," "))))+1 - LEN(SUBSTITUTE(CLEAN(SUBSTITUTE(ProjTextTable[[#This Row],[text]],CHAR(10)," "))," ",""))</f>
        <v>533</v>
      </c>
      <c r="O562" t="s">
        <v>198</v>
      </c>
      <c r="P562" t="s">
        <v>1710</v>
      </c>
    </row>
    <row r="563" spans="1:16">
      <c r="A563">
        <f t="shared" si="8"/>
        <v>86</v>
      </c>
      <c r="B563" t="s">
        <v>1705</v>
      </c>
      <c r="C563" t="s">
        <v>1706</v>
      </c>
      <c r="D563" t="s">
        <v>194</v>
      </c>
      <c r="E563" t="s">
        <v>543</v>
      </c>
      <c r="F563" t="s">
        <v>1556</v>
      </c>
      <c r="G563" t="s">
        <v>1557</v>
      </c>
      <c r="H563" t="s">
        <v>1558</v>
      </c>
      <c r="I563" t="s">
        <v>209</v>
      </c>
      <c r="J563" t="s">
        <v>176</v>
      </c>
      <c r="K563" s="30">
        <v>43060</v>
      </c>
      <c r="L563" s="8">
        <v>43059.786053240743</v>
      </c>
      <c r="M563" s="21">
        <f>LEN(ProjTextTable[[#This Row],[text]])</f>
        <v>1418</v>
      </c>
      <c r="N563" s="21">
        <f>LEN(TRIM(CLEAN(SUBSTITUTE(ProjTextTable[[#This Row],[text]],CHAR(10)," "))))+1 - LEN(SUBSTITUTE(CLEAN(SUBSTITUTE(ProjTextTable[[#This Row],[text]],CHAR(10)," "))," ",""))</f>
        <v>216</v>
      </c>
      <c r="O563" t="s">
        <v>251</v>
      </c>
      <c r="P563" t="s">
        <v>1711</v>
      </c>
    </row>
    <row r="564" spans="1:16">
      <c r="A564">
        <f t="shared" si="8"/>
        <v>86</v>
      </c>
      <c r="B564" t="s">
        <v>1705</v>
      </c>
      <c r="C564" t="s">
        <v>1706</v>
      </c>
      <c r="D564" t="s">
        <v>196</v>
      </c>
      <c r="E564" t="s">
        <v>543</v>
      </c>
      <c r="F564" t="s">
        <v>13</v>
      </c>
      <c r="G564" t="s">
        <v>13</v>
      </c>
      <c r="H564" t="s">
        <v>13</v>
      </c>
      <c r="K564" s="30"/>
      <c r="L564" s="8">
        <v>42936.043680555558</v>
      </c>
      <c r="M564" s="21">
        <f>LEN(ProjTextTable[[#This Row],[text]])</f>
        <v>3396</v>
      </c>
      <c r="N564" s="21">
        <f>LEN(TRIM(CLEAN(SUBSTITUTE(ProjTextTable[[#This Row],[text]],CHAR(10)," "))))+1 - LEN(SUBSTITUTE(CLEAN(SUBSTITUTE(ProjTextTable[[#This Row],[text]],CHAR(10)," "))," ",""))</f>
        <v>495</v>
      </c>
      <c r="O564" t="s">
        <v>13</v>
      </c>
      <c r="P564" t="s">
        <v>1712</v>
      </c>
    </row>
    <row r="565" spans="1:16">
      <c r="A565">
        <f t="shared" si="8"/>
        <v>87</v>
      </c>
      <c r="B565" t="s">
        <v>1713</v>
      </c>
      <c r="C565" t="s">
        <v>1714</v>
      </c>
      <c r="D565" t="s">
        <v>205</v>
      </c>
      <c r="E565" t="s">
        <v>543</v>
      </c>
      <c r="F565" t="s">
        <v>619</v>
      </c>
      <c r="G565" t="s">
        <v>620</v>
      </c>
      <c r="H565" t="s">
        <v>245</v>
      </c>
      <c r="I565" t="s">
        <v>95</v>
      </c>
      <c r="J565" t="s">
        <v>197</v>
      </c>
      <c r="K565" s="30">
        <v>43059</v>
      </c>
      <c r="L565" s="8"/>
      <c r="M565" s="21">
        <f>LEN(ProjTextTable[[#This Row],[text]])</f>
        <v>2576</v>
      </c>
      <c r="N565" s="21">
        <f>LEN(TRIM(CLEAN(SUBSTITUTE(ProjTextTable[[#This Row],[text]],CHAR(10)," "))))+1 - LEN(SUBSTITUTE(CLEAN(SUBSTITUTE(ProjTextTable[[#This Row],[text]],CHAR(10)," "))," ",""))</f>
        <v>356</v>
      </c>
      <c r="O565" t="s">
        <v>243</v>
      </c>
      <c r="P565" t="s">
        <v>1715</v>
      </c>
    </row>
    <row r="566" spans="1:16">
      <c r="A566">
        <f t="shared" si="8"/>
        <v>87</v>
      </c>
      <c r="B566" t="s">
        <v>1713</v>
      </c>
      <c r="C566" t="s">
        <v>1714</v>
      </c>
      <c r="D566" t="s">
        <v>194</v>
      </c>
      <c r="E566" t="s">
        <v>543</v>
      </c>
      <c r="F566" t="s">
        <v>626</v>
      </c>
      <c r="G566" t="s">
        <v>627</v>
      </c>
      <c r="H566" t="s">
        <v>628</v>
      </c>
      <c r="I566" t="s">
        <v>209</v>
      </c>
      <c r="J566" t="s">
        <v>176</v>
      </c>
      <c r="K566" s="30">
        <v>43060</v>
      </c>
      <c r="L566" s="8">
        <v>43059.227268518516</v>
      </c>
      <c r="M566" s="21">
        <f>LEN(ProjTextTable[[#This Row],[text]])</f>
        <v>2740</v>
      </c>
      <c r="N566" s="21">
        <f>LEN(TRIM(CLEAN(SUBSTITUTE(ProjTextTable[[#This Row],[text]],CHAR(10)," "))))+1 - LEN(SUBSTITUTE(CLEAN(SUBSTITUTE(ProjTextTable[[#This Row],[text]],CHAR(10)," "))," ",""))</f>
        <v>381</v>
      </c>
      <c r="O566" t="s">
        <v>251</v>
      </c>
      <c r="P566" t="s">
        <v>1716</v>
      </c>
    </row>
    <row r="567" spans="1:16">
      <c r="A567">
        <f t="shared" si="8"/>
        <v>87</v>
      </c>
      <c r="B567" t="s">
        <v>1713</v>
      </c>
      <c r="C567" t="s">
        <v>1714</v>
      </c>
      <c r="D567" t="s">
        <v>194</v>
      </c>
      <c r="E567" t="s">
        <v>543</v>
      </c>
      <c r="F567" t="s">
        <v>630</v>
      </c>
      <c r="G567" t="s">
        <v>631</v>
      </c>
      <c r="H567" t="s">
        <v>632</v>
      </c>
      <c r="I567" t="s">
        <v>209</v>
      </c>
      <c r="J567" t="s">
        <v>176</v>
      </c>
      <c r="K567" s="30">
        <v>43060</v>
      </c>
      <c r="L567" s="8">
        <v>43058.459224537037</v>
      </c>
      <c r="M567" s="21">
        <f>LEN(ProjTextTable[[#This Row],[text]])</f>
        <v>2343</v>
      </c>
      <c r="N567" s="21">
        <f>LEN(TRIM(CLEAN(SUBSTITUTE(ProjTextTable[[#This Row],[text]],CHAR(10)," "))))+1 - LEN(SUBSTITUTE(CLEAN(SUBSTITUTE(ProjTextTable[[#This Row],[text]],CHAR(10)," "))," ",""))</f>
        <v>347</v>
      </c>
      <c r="O567" t="s">
        <v>198</v>
      </c>
      <c r="P567" t="s">
        <v>1717</v>
      </c>
    </row>
    <row r="568" spans="1:16">
      <c r="A568">
        <f t="shared" si="8"/>
        <v>87</v>
      </c>
      <c r="B568" t="s">
        <v>1713</v>
      </c>
      <c r="C568" t="s">
        <v>1714</v>
      </c>
      <c r="D568" t="s">
        <v>194</v>
      </c>
      <c r="E568" t="s">
        <v>543</v>
      </c>
      <c r="F568" t="s">
        <v>1507</v>
      </c>
      <c r="G568" t="s">
        <v>1508</v>
      </c>
      <c r="H568" t="s">
        <v>1509</v>
      </c>
      <c r="I568" t="s">
        <v>209</v>
      </c>
      <c r="J568" t="s">
        <v>176</v>
      </c>
      <c r="K568" s="30">
        <v>43060</v>
      </c>
      <c r="L568" s="8">
        <v>43058.922615740739</v>
      </c>
      <c r="M568" s="21">
        <f>LEN(ProjTextTable[[#This Row],[text]])</f>
        <v>2749</v>
      </c>
      <c r="N568" s="21">
        <f>LEN(TRIM(CLEAN(SUBSTITUTE(ProjTextTable[[#This Row],[text]],CHAR(10)," "))))+1 - LEN(SUBSTITUTE(CLEAN(SUBSTITUTE(ProjTextTable[[#This Row],[text]],CHAR(10)," "))," ",""))</f>
        <v>394</v>
      </c>
      <c r="O568" t="s">
        <v>251</v>
      </c>
      <c r="P568" t="s">
        <v>1718</v>
      </c>
    </row>
    <row r="569" spans="1:16">
      <c r="A569">
        <f t="shared" si="8"/>
        <v>87</v>
      </c>
      <c r="B569" t="s">
        <v>1713</v>
      </c>
      <c r="C569" t="s">
        <v>1714</v>
      </c>
      <c r="D569" t="s">
        <v>194</v>
      </c>
      <c r="E569" t="s">
        <v>543</v>
      </c>
      <c r="F569" t="s">
        <v>1660</v>
      </c>
      <c r="G569" t="s">
        <v>1661</v>
      </c>
      <c r="H569" t="s">
        <v>1662</v>
      </c>
      <c r="I569" t="s">
        <v>209</v>
      </c>
      <c r="J569" t="s">
        <v>176</v>
      </c>
      <c r="K569" s="30">
        <v>43060</v>
      </c>
      <c r="L569" s="8">
        <v>43058.974108796298</v>
      </c>
      <c r="M569" s="21">
        <f>LEN(ProjTextTable[[#This Row],[text]])</f>
        <v>3220</v>
      </c>
      <c r="N569" s="21">
        <f>LEN(TRIM(CLEAN(SUBSTITUTE(ProjTextTable[[#This Row],[text]],CHAR(10)," "))))+1 - LEN(SUBSTITUTE(CLEAN(SUBSTITUTE(ProjTextTable[[#This Row],[text]],CHAR(10)," "))," ",""))</f>
        <v>500</v>
      </c>
      <c r="O569" t="s">
        <v>198</v>
      </c>
      <c r="P569" t="s">
        <v>1719</v>
      </c>
    </row>
    <row r="570" spans="1:16">
      <c r="A570">
        <f t="shared" si="8"/>
        <v>87</v>
      </c>
      <c r="B570" t="s">
        <v>1713</v>
      </c>
      <c r="C570" t="s">
        <v>1714</v>
      </c>
      <c r="D570" t="s">
        <v>196</v>
      </c>
      <c r="E570" t="s">
        <v>543</v>
      </c>
      <c r="F570" t="s">
        <v>13</v>
      </c>
      <c r="G570" t="s">
        <v>13</v>
      </c>
      <c r="H570" t="s">
        <v>13</v>
      </c>
      <c r="K570" s="30"/>
      <c r="L570" s="8">
        <v>42936.043912037036</v>
      </c>
      <c r="M570" s="21">
        <f>LEN(ProjTextTable[[#This Row],[text]])</f>
        <v>4427</v>
      </c>
      <c r="N570" s="21">
        <f>LEN(TRIM(CLEAN(SUBSTITUTE(ProjTextTable[[#This Row],[text]],CHAR(10)," "))))+1 - LEN(SUBSTITUTE(CLEAN(SUBSTITUTE(ProjTextTable[[#This Row],[text]],CHAR(10)," "))," ",""))</f>
        <v>651</v>
      </c>
      <c r="O570" t="s">
        <v>13</v>
      </c>
      <c r="P570" t="s">
        <v>1720</v>
      </c>
    </row>
    <row r="571" spans="1:16">
      <c r="A571">
        <f t="shared" si="8"/>
        <v>88</v>
      </c>
      <c r="B571" t="s">
        <v>1721</v>
      </c>
      <c r="C571" t="s">
        <v>1722</v>
      </c>
      <c r="D571" t="s">
        <v>205</v>
      </c>
      <c r="E571" t="s">
        <v>543</v>
      </c>
      <c r="F571" t="s">
        <v>619</v>
      </c>
      <c r="G571" t="s">
        <v>620</v>
      </c>
      <c r="H571" t="s">
        <v>249</v>
      </c>
      <c r="I571" t="s">
        <v>193</v>
      </c>
      <c r="J571" t="s">
        <v>922</v>
      </c>
      <c r="K571" s="30">
        <v>43059</v>
      </c>
      <c r="L571" s="8"/>
      <c r="M571" s="21">
        <f>LEN(ProjTextTable[[#This Row],[text]])</f>
        <v>4360</v>
      </c>
      <c r="N571" s="21">
        <f>LEN(TRIM(CLEAN(SUBSTITUTE(ProjTextTable[[#This Row],[text]],CHAR(10)," "))))+1 - LEN(SUBSTITUTE(CLEAN(SUBSTITUTE(ProjTextTable[[#This Row],[text]],CHAR(10)," "))," ",""))</f>
        <v>633</v>
      </c>
      <c r="O571" t="s">
        <v>248</v>
      </c>
      <c r="P571" t="s">
        <v>1723</v>
      </c>
    </row>
    <row r="572" spans="1:16">
      <c r="A572">
        <f t="shared" si="8"/>
        <v>88</v>
      </c>
      <c r="B572" t="s">
        <v>1721</v>
      </c>
      <c r="C572" t="s">
        <v>1722</v>
      </c>
      <c r="D572" t="s">
        <v>194</v>
      </c>
      <c r="E572" t="s">
        <v>543</v>
      </c>
      <c r="F572" t="s">
        <v>1507</v>
      </c>
      <c r="G572" t="s">
        <v>1508</v>
      </c>
      <c r="H572" t="s">
        <v>1509</v>
      </c>
      <c r="I572" t="s">
        <v>209</v>
      </c>
      <c r="J572" t="s">
        <v>176</v>
      </c>
      <c r="K572" s="30">
        <v>43060</v>
      </c>
      <c r="L572" s="8">
        <v>43059.302187499998</v>
      </c>
      <c r="M572" s="21">
        <f>LEN(ProjTextTable[[#This Row],[text]])</f>
        <v>3398</v>
      </c>
      <c r="N572" s="21">
        <f>LEN(TRIM(CLEAN(SUBSTITUTE(ProjTextTable[[#This Row],[text]],CHAR(10)," "))))+1 - LEN(SUBSTITUTE(CLEAN(SUBSTITUTE(ProjTextTable[[#This Row],[text]],CHAR(10)," "))," ",""))</f>
        <v>486</v>
      </c>
      <c r="O572" t="s">
        <v>199</v>
      </c>
      <c r="P572" t="s">
        <v>1724</v>
      </c>
    </row>
    <row r="573" spans="1:16">
      <c r="A573">
        <f t="shared" si="8"/>
        <v>88</v>
      </c>
      <c r="B573" t="s">
        <v>1721</v>
      </c>
      <c r="C573" t="s">
        <v>1722</v>
      </c>
      <c r="D573" t="s">
        <v>194</v>
      </c>
      <c r="E573" t="s">
        <v>543</v>
      </c>
      <c r="F573" t="s">
        <v>1552</v>
      </c>
      <c r="G573" t="s">
        <v>1553</v>
      </c>
      <c r="H573" t="s">
        <v>1554</v>
      </c>
      <c r="I573" t="s">
        <v>209</v>
      </c>
      <c r="J573" t="s">
        <v>176</v>
      </c>
      <c r="K573" s="30">
        <v>43060</v>
      </c>
      <c r="L573" s="8">
        <v>43058.963819444441</v>
      </c>
      <c r="M573" s="21">
        <f>LEN(ProjTextTable[[#This Row],[text]])</f>
        <v>1074</v>
      </c>
      <c r="N573" s="21">
        <f>LEN(TRIM(CLEAN(SUBSTITUTE(ProjTextTable[[#This Row],[text]],CHAR(10)," "))))+1 - LEN(SUBSTITUTE(CLEAN(SUBSTITUTE(ProjTextTable[[#This Row],[text]],CHAR(10)," "))," ",""))</f>
        <v>154</v>
      </c>
      <c r="O573" t="s">
        <v>195</v>
      </c>
      <c r="P573" t="s">
        <v>1725</v>
      </c>
    </row>
    <row r="574" spans="1:16">
      <c r="A574">
        <f t="shared" si="8"/>
        <v>88</v>
      </c>
      <c r="B574" t="s">
        <v>1721</v>
      </c>
      <c r="C574" t="s">
        <v>1722</v>
      </c>
      <c r="D574" t="s">
        <v>194</v>
      </c>
      <c r="E574" t="s">
        <v>543</v>
      </c>
      <c r="F574" t="s">
        <v>1565</v>
      </c>
      <c r="G574" t="s">
        <v>1566</v>
      </c>
      <c r="H574" t="s">
        <v>1567</v>
      </c>
      <c r="I574" t="s">
        <v>209</v>
      </c>
      <c r="J574" t="s">
        <v>176</v>
      </c>
      <c r="K574" s="30">
        <v>43060</v>
      </c>
      <c r="L574" s="8">
        <v>43060.010879629626</v>
      </c>
      <c r="M574" s="21">
        <f>LEN(ProjTextTable[[#This Row],[text]])</f>
        <v>2488</v>
      </c>
      <c r="N574" s="21">
        <f>LEN(TRIM(CLEAN(SUBSTITUTE(ProjTextTable[[#This Row],[text]],CHAR(10)," "))))+1 - LEN(SUBSTITUTE(CLEAN(SUBSTITUTE(ProjTextTable[[#This Row],[text]],CHAR(10)," "))," ",""))</f>
        <v>366</v>
      </c>
      <c r="O574" t="s">
        <v>195</v>
      </c>
      <c r="P574" t="s">
        <v>1726</v>
      </c>
    </row>
    <row r="575" spans="1:16">
      <c r="A575">
        <f t="shared" si="8"/>
        <v>88</v>
      </c>
      <c r="B575" t="s">
        <v>1721</v>
      </c>
      <c r="C575" t="s">
        <v>1722</v>
      </c>
      <c r="D575" t="s">
        <v>194</v>
      </c>
      <c r="E575" t="s">
        <v>543</v>
      </c>
      <c r="F575" t="s">
        <v>1556</v>
      </c>
      <c r="G575" t="s">
        <v>1557</v>
      </c>
      <c r="H575" t="s">
        <v>1558</v>
      </c>
      <c r="I575" t="s">
        <v>209</v>
      </c>
      <c r="J575" t="s">
        <v>176</v>
      </c>
      <c r="K575" s="30">
        <v>43060</v>
      </c>
      <c r="L575" s="8">
        <v>43056.614120370374</v>
      </c>
      <c r="M575" s="21">
        <f>LEN(ProjTextTable[[#This Row],[text]])</f>
        <v>1323</v>
      </c>
      <c r="N575" s="21">
        <f>LEN(TRIM(CLEAN(SUBSTITUTE(ProjTextTable[[#This Row],[text]],CHAR(10)," "))))+1 - LEN(SUBSTITUTE(CLEAN(SUBSTITUTE(ProjTextTable[[#This Row],[text]],CHAR(10)," "))," ",""))</f>
        <v>199</v>
      </c>
      <c r="O575" t="s">
        <v>195</v>
      </c>
      <c r="P575" t="s">
        <v>1727</v>
      </c>
    </row>
    <row r="576" spans="1:16">
      <c r="A576">
        <f t="shared" si="8"/>
        <v>88</v>
      </c>
      <c r="B576" t="s">
        <v>1721</v>
      </c>
      <c r="C576" t="s">
        <v>1722</v>
      </c>
      <c r="D576" t="s">
        <v>196</v>
      </c>
      <c r="E576" t="s">
        <v>543</v>
      </c>
      <c r="F576" t="s">
        <v>13</v>
      </c>
      <c r="G576" t="s">
        <v>13</v>
      </c>
      <c r="H576" t="s">
        <v>13</v>
      </c>
      <c r="K576" s="30"/>
      <c r="L576" s="8">
        <v>42936.043935185182</v>
      </c>
      <c r="M576" s="21">
        <f>LEN(ProjTextTable[[#This Row],[text]])</f>
        <v>2872</v>
      </c>
      <c r="N576" s="21">
        <f>LEN(TRIM(CLEAN(SUBSTITUTE(ProjTextTable[[#This Row],[text]],CHAR(10)," "))))+1 - LEN(SUBSTITUTE(CLEAN(SUBSTITUTE(ProjTextTable[[#This Row],[text]],CHAR(10)," "))," ",""))</f>
        <v>426</v>
      </c>
      <c r="O576" t="s">
        <v>13</v>
      </c>
      <c r="P576" t="s">
        <v>1728</v>
      </c>
    </row>
    <row r="577" spans="1:16">
      <c r="A577">
        <f t="shared" si="8"/>
        <v>89</v>
      </c>
      <c r="B577" t="s">
        <v>1729</v>
      </c>
      <c r="C577" t="s">
        <v>1730</v>
      </c>
      <c r="D577" t="s">
        <v>205</v>
      </c>
      <c r="E577" t="s">
        <v>543</v>
      </c>
      <c r="F577" t="s">
        <v>619</v>
      </c>
      <c r="G577" t="s">
        <v>620</v>
      </c>
      <c r="H577" t="s">
        <v>245</v>
      </c>
      <c r="I577" t="s">
        <v>95</v>
      </c>
      <c r="J577" t="s">
        <v>197</v>
      </c>
      <c r="K577" s="30">
        <v>43059</v>
      </c>
      <c r="L577" s="8"/>
      <c r="M577" s="21">
        <f>LEN(ProjTextTable[[#This Row],[text]])</f>
        <v>3155</v>
      </c>
      <c r="N577" s="21">
        <f>LEN(TRIM(CLEAN(SUBSTITUTE(ProjTextTable[[#This Row],[text]],CHAR(10)," "))))+1 - LEN(SUBSTITUTE(CLEAN(SUBSTITUTE(ProjTextTable[[#This Row],[text]],CHAR(10)," "))," ",""))</f>
        <v>456</v>
      </c>
      <c r="O577" t="s">
        <v>243</v>
      </c>
      <c r="P577" t="s">
        <v>1731</v>
      </c>
    </row>
    <row r="578" spans="1:16">
      <c r="A578">
        <f t="shared" ref="A578:A641" si="9">A577+(B578&lt;&gt;B577)</f>
        <v>89</v>
      </c>
      <c r="B578" t="s">
        <v>1729</v>
      </c>
      <c r="C578" t="s">
        <v>1730</v>
      </c>
      <c r="D578" t="s">
        <v>194</v>
      </c>
      <c r="E578" t="s">
        <v>1530</v>
      </c>
      <c r="F578" t="s">
        <v>630</v>
      </c>
      <c r="G578" t="s">
        <v>631</v>
      </c>
      <c r="H578" t="s">
        <v>632</v>
      </c>
      <c r="I578" t="s">
        <v>209</v>
      </c>
      <c r="J578" t="s">
        <v>176</v>
      </c>
      <c r="K578" s="30">
        <v>43060</v>
      </c>
      <c r="L578" s="8">
        <v>43059.471666666665</v>
      </c>
      <c r="M578" s="21">
        <f>LEN(ProjTextTable[[#This Row],[text]])</f>
        <v>1800</v>
      </c>
      <c r="N578" s="21">
        <f>LEN(TRIM(CLEAN(SUBSTITUTE(ProjTextTable[[#This Row],[text]],CHAR(10)," "))))+1 - LEN(SUBSTITUTE(CLEAN(SUBSTITUTE(ProjTextTable[[#This Row],[text]],CHAR(10)," "))," ",""))</f>
        <v>267</v>
      </c>
      <c r="O578" t="s">
        <v>202</v>
      </c>
      <c r="P578" t="s">
        <v>1732</v>
      </c>
    </row>
    <row r="579" spans="1:16">
      <c r="A579">
        <f t="shared" si="9"/>
        <v>89</v>
      </c>
      <c r="B579" t="s">
        <v>1729</v>
      </c>
      <c r="C579" t="s">
        <v>1730</v>
      </c>
      <c r="D579" t="s">
        <v>194</v>
      </c>
      <c r="E579" t="s">
        <v>1530</v>
      </c>
      <c r="F579" t="s">
        <v>1733</v>
      </c>
      <c r="G579" t="s">
        <v>1734</v>
      </c>
      <c r="H579" t="s">
        <v>1735</v>
      </c>
      <c r="I579" t="s">
        <v>209</v>
      </c>
      <c r="J579" t="s">
        <v>176</v>
      </c>
      <c r="K579" s="30">
        <v>43060</v>
      </c>
      <c r="L579" s="8">
        <v>43054.57371527778</v>
      </c>
      <c r="M579" s="21">
        <f>LEN(ProjTextTable[[#This Row],[text]])</f>
        <v>2065</v>
      </c>
      <c r="N579" s="21">
        <f>LEN(TRIM(CLEAN(SUBSTITUTE(ProjTextTable[[#This Row],[text]],CHAR(10)," "))))+1 - LEN(SUBSTITUTE(CLEAN(SUBSTITUTE(ProjTextTable[[#This Row],[text]],CHAR(10)," "))," ",""))</f>
        <v>297</v>
      </c>
      <c r="O579" t="s">
        <v>198</v>
      </c>
      <c r="P579" t="s">
        <v>1736</v>
      </c>
    </row>
    <row r="580" spans="1:16">
      <c r="A580">
        <f t="shared" si="9"/>
        <v>89</v>
      </c>
      <c r="B580" t="s">
        <v>1729</v>
      </c>
      <c r="C580" t="s">
        <v>1730</v>
      </c>
      <c r="D580" t="s">
        <v>194</v>
      </c>
      <c r="E580" t="s">
        <v>543</v>
      </c>
      <c r="F580" t="s">
        <v>1507</v>
      </c>
      <c r="G580" t="s">
        <v>1508</v>
      </c>
      <c r="H580" t="s">
        <v>1509</v>
      </c>
      <c r="I580" t="s">
        <v>209</v>
      </c>
      <c r="J580" t="s">
        <v>176</v>
      </c>
      <c r="K580" s="30">
        <v>43060</v>
      </c>
      <c r="L580" s="8">
        <v>43058.888726851852</v>
      </c>
      <c r="M580" s="21">
        <f>LEN(ProjTextTable[[#This Row],[text]])</f>
        <v>3067</v>
      </c>
      <c r="N580" s="21">
        <f>LEN(TRIM(CLEAN(SUBSTITUTE(ProjTextTable[[#This Row],[text]],CHAR(10)," "))))+1 - LEN(SUBSTITUTE(CLEAN(SUBSTITUTE(ProjTextTable[[#This Row],[text]],CHAR(10)," "))," ",""))</f>
        <v>441</v>
      </c>
      <c r="O580" t="s">
        <v>251</v>
      </c>
      <c r="P580" t="s">
        <v>1737</v>
      </c>
    </row>
    <row r="581" spans="1:16">
      <c r="A581">
        <f t="shared" si="9"/>
        <v>89</v>
      </c>
      <c r="B581" t="s">
        <v>1729</v>
      </c>
      <c r="C581" t="s">
        <v>1730</v>
      </c>
      <c r="D581" t="s">
        <v>194</v>
      </c>
      <c r="E581" t="s">
        <v>543</v>
      </c>
      <c r="F581" t="s">
        <v>1552</v>
      </c>
      <c r="G581" t="s">
        <v>1553</v>
      </c>
      <c r="H581" t="s">
        <v>1554</v>
      </c>
      <c r="I581" t="s">
        <v>209</v>
      </c>
      <c r="J581" t="s">
        <v>176</v>
      </c>
      <c r="K581" s="30">
        <v>43060</v>
      </c>
      <c r="L581" s="8">
        <v>43059.9296875</v>
      </c>
      <c r="M581" s="21">
        <f>LEN(ProjTextTable[[#This Row],[text]])</f>
        <v>1289</v>
      </c>
      <c r="N581" s="21">
        <f>LEN(TRIM(CLEAN(SUBSTITUTE(ProjTextTable[[#This Row],[text]],CHAR(10)," "))))+1 - LEN(SUBSTITUTE(CLEAN(SUBSTITUTE(ProjTextTable[[#This Row],[text]],CHAR(10)," "))," ",""))</f>
        <v>187</v>
      </c>
      <c r="O581" t="s">
        <v>199</v>
      </c>
      <c r="P581" t="s">
        <v>1738</v>
      </c>
    </row>
    <row r="582" spans="1:16">
      <c r="A582">
        <f t="shared" si="9"/>
        <v>89</v>
      </c>
      <c r="B582" t="s">
        <v>1729</v>
      </c>
      <c r="C582" t="s">
        <v>1730</v>
      </c>
      <c r="D582" t="s">
        <v>196</v>
      </c>
      <c r="E582" t="s">
        <v>1530</v>
      </c>
      <c r="F582" t="s">
        <v>13</v>
      </c>
      <c r="G582" t="s">
        <v>13</v>
      </c>
      <c r="H582" t="s">
        <v>13</v>
      </c>
      <c r="K582" s="30"/>
      <c r="L582" s="8">
        <v>42936.044108796297</v>
      </c>
      <c r="M582" s="21">
        <f>LEN(ProjTextTable[[#This Row],[text]])</f>
        <v>3733</v>
      </c>
      <c r="N582" s="21">
        <f>LEN(TRIM(CLEAN(SUBSTITUTE(ProjTextTable[[#This Row],[text]],CHAR(10)," "))))+1 - LEN(SUBSTITUTE(CLEAN(SUBSTITUTE(ProjTextTable[[#This Row],[text]],CHAR(10)," "))," ",""))</f>
        <v>526</v>
      </c>
      <c r="O582" t="s">
        <v>13</v>
      </c>
      <c r="P582" t="s">
        <v>1739</v>
      </c>
    </row>
    <row r="583" spans="1:16">
      <c r="A583">
        <f t="shared" si="9"/>
        <v>90</v>
      </c>
      <c r="B583" t="s">
        <v>666</v>
      </c>
      <c r="C583" t="s">
        <v>667</v>
      </c>
      <c r="D583" t="s">
        <v>205</v>
      </c>
      <c r="E583" t="s">
        <v>543</v>
      </c>
      <c r="F583" t="s">
        <v>544</v>
      </c>
      <c r="G583" t="s">
        <v>545</v>
      </c>
      <c r="H583" t="s">
        <v>207</v>
      </c>
      <c r="I583" t="s">
        <v>197</v>
      </c>
      <c r="J583" t="s">
        <v>668</v>
      </c>
      <c r="K583" s="30">
        <v>43031</v>
      </c>
      <c r="L583" s="8"/>
      <c r="M583" s="21">
        <f>LEN(ProjTextTable[[#This Row],[text]])</f>
        <v>2012</v>
      </c>
      <c r="N583" s="21">
        <f>LEN(TRIM(CLEAN(SUBSTITUTE(ProjTextTable[[#This Row],[text]],CHAR(10)," "))))+1 - LEN(SUBSTITUTE(CLEAN(SUBSTITUTE(ProjTextTable[[#This Row],[text]],CHAR(10)," "))," ",""))</f>
        <v>277</v>
      </c>
      <c r="O583" t="s">
        <v>208</v>
      </c>
      <c r="P583" t="s">
        <v>669</v>
      </c>
    </row>
    <row r="584" spans="1:16">
      <c r="A584">
        <f t="shared" si="9"/>
        <v>90</v>
      </c>
      <c r="B584" t="s">
        <v>666</v>
      </c>
      <c r="C584" t="s">
        <v>667</v>
      </c>
      <c r="D584" t="s">
        <v>194</v>
      </c>
      <c r="E584" t="s">
        <v>543</v>
      </c>
      <c r="F584" t="s">
        <v>568</v>
      </c>
      <c r="G584" t="s">
        <v>569</v>
      </c>
      <c r="H584" t="s">
        <v>570</v>
      </c>
      <c r="I584" t="s">
        <v>209</v>
      </c>
      <c r="J584" t="s">
        <v>176</v>
      </c>
      <c r="K584" s="30">
        <v>43032</v>
      </c>
      <c r="L584" s="8">
        <v>43022.977719907409</v>
      </c>
      <c r="M584" s="21">
        <f>LEN(ProjTextTable[[#This Row],[text]])</f>
        <v>2991</v>
      </c>
      <c r="N584" s="21">
        <f>LEN(TRIM(CLEAN(SUBSTITUTE(ProjTextTable[[#This Row],[text]],CHAR(10)," "))))+1 - LEN(SUBSTITUTE(CLEAN(SUBSTITUTE(ProjTextTable[[#This Row],[text]],CHAR(10)," "))," ",""))</f>
        <v>467</v>
      </c>
      <c r="O584" t="s">
        <v>199</v>
      </c>
      <c r="P584" t="s">
        <v>670</v>
      </c>
    </row>
    <row r="585" spans="1:16">
      <c r="A585">
        <f t="shared" si="9"/>
        <v>90</v>
      </c>
      <c r="B585" t="s">
        <v>666</v>
      </c>
      <c r="C585" t="s">
        <v>667</v>
      </c>
      <c r="D585" t="s">
        <v>194</v>
      </c>
      <c r="E585" t="s">
        <v>540</v>
      </c>
      <c r="F585" t="s">
        <v>572</v>
      </c>
      <c r="G585" t="s">
        <v>573</v>
      </c>
      <c r="H585" t="s">
        <v>574</v>
      </c>
      <c r="I585" t="s">
        <v>209</v>
      </c>
      <c r="J585" t="s">
        <v>176</v>
      </c>
      <c r="K585" s="30">
        <v>43032</v>
      </c>
      <c r="L585" s="8">
        <v>43030.18167824074</v>
      </c>
      <c r="M585" s="21">
        <f>LEN(ProjTextTable[[#This Row],[text]])</f>
        <v>2066</v>
      </c>
      <c r="N585" s="21">
        <f>LEN(TRIM(CLEAN(SUBSTITUTE(ProjTextTable[[#This Row],[text]],CHAR(10)," "))))+1 - LEN(SUBSTITUTE(CLEAN(SUBSTITUTE(ProjTextTable[[#This Row],[text]],CHAR(10)," "))," ",""))</f>
        <v>295</v>
      </c>
      <c r="O585" t="s">
        <v>199</v>
      </c>
      <c r="P585" t="s">
        <v>671</v>
      </c>
    </row>
    <row r="586" spans="1:16">
      <c r="A586">
        <f t="shared" si="9"/>
        <v>90</v>
      </c>
      <c r="B586" t="s">
        <v>666</v>
      </c>
      <c r="C586" t="s">
        <v>667</v>
      </c>
      <c r="D586" t="s">
        <v>194</v>
      </c>
      <c r="E586" t="s">
        <v>543</v>
      </c>
      <c r="F586" t="s">
        <v>576</v>
      </c>
      <c r="G586" t="s">
        <v>577</v>
      </c>
      <c r="H586" t="s">
        <v>578</v>
      </c>
      <c r="I586" t="s">
        <v>209</v>
      </c>
      <c r="J586" t="s">
        <v>176</v>
      </c>
      <c r="K586" s="30">
        <v>43032</v>
      </c>
      <c r="L586" s="8">
        <v>43028.861875000002</v>
      </c>
      <c r="M586" s="21">
        <f>LEN(ProjTextTable[[#This Row],[text]])</f>
        <v>2452</v>
      </c>
      <c r="N586" s="21">
        <f>LEN(TRIM(CLEAN(SUBSTITUTE(ProjTextTable[[#This Row],[text]],CHAR(10)," "))))+1 - LEN(SUBSTITUTE(CLEAN(SUBSTITUTE(ProjTextTable[[#This Row],[text]],CHAR(10)," "))," ",""))</f>
        <v>365</v>
      </c>
      <c r="O586" t="s">
        <v>199</v>
      </c>
      <c r="P586" t="s">
        <v>672</v>
      </c>
    </row>
    <row r="587" spans="1:16">
      <c r="A587">
        <f t="shared" si="9"/>
        <v>90</v>
      </c>
      <c r="B587" t="s">
        <v>666</v>
      </c>
      <c r="C587" t="s">
        <v>667</v>
      </c>
      <c r="D587" t="s">
        <v>194</v>
      </c>
      <c r="E587" t="s">
        <v>543</v>
      </c>
      <c r="F587" t="s">
        <v>673</v>
      </c>
      <c r="G587" t="s">
        <v>674</v>
      </c>
      <c r="H587" t="s">
        <v>675</v>
      </c>
      <c r="I587" t="s">
        <v>209</v>
      </c>
      <c r="J587" t="s">
        <v>176</v>
      </c>
      <c r="K587" s="30">
        <v>43032</v>
      </c>
      <c r="L587" s="8">
        <v>43027.663506944446</v>
      </c>
      <c r="M587" s="21">
        <f>LEN(ProjTextTable[[#This Row],[text]])</f>
        <v>2625</v>
      </c>
      <c r="N587" s="21">
        <f>LEN(TRIM(CLEAN(SUBSTITUTE(ProjTextTable[[#This Row],[text]],CHAR(10)," "))))+1 - LEN(SUBSTITUTE(CLEAN(SUBSTITUTE(ProjTextTable[[#This Row],[text]],CHAR(10)," "))," ",""))</f>
        <v>399</v>
      </c>
      <c r="O587" t="s">
        <v>251</v>
      </c>
      <c r="P587" t="s">
        <v>676</v>
      </c>
    </row>
    <row r="588" spans="1:16">
      <c r="A588">
        <f t="shared" si="9"/>
        <v>90</v>
      </c>
      <c r="B588" t="s">
        <v>666</v>
      </c>
      <c r="C588" t="s">
        <v>667</v>
      </c>
      <c r="D588" t="s">
        <v>196</v>
      </c>
      <c r="E588" t="s">
        <v>540</v>
      </c>
      <c r="F588" t="s">
        <v>13</v>
      </c>
      <c r="G588" t="s">
        <v>13</v>
      </c>
      <c r="H588" t="s">
        <v>13</v>
      </c>
      <c r="K588" s="30"/>
      <c r="L588" s="8">
        <v>42936.044259259259</v>
      </c>
      <c r="M588" s="21">
        <f>LEN(ProjTextTable[[#This Row],[text]])</f>
        <v>4189</v>
      </c>
      <c r="N588" s="21">
        <f>LEN(TRIM(CLEAN(SUBSTITUTE(ProjTextTable[[#This Row],[text]],CHAR(10)," "))))+1 - LEN(SUBSTITUTE(CLEAN(SUBSTITUTE(ProjTextTable[[#This Row],[text]],CHAR(10)," "))," ",""))</f>
        <v>639</v>
      </c>
      <c r="O588" t="s">
        <v>13</v>
      </c>
      <c r="P588" t="s">
        <v>677</v>
      </c>
    </row>
    <row r="589" spans="1:16">
      <c r="A589">
        <f t="shared" si="9"/>
        <v>91</v>
      </c>
      <c r="B589" t="s">
        <v>1740</v>
      </c>
      <c r="C589" t="s">
        <v>1741</v>
      </c>
      <c r="D589" t="s">
        <v>205</v>
      </c>
      <c r="E589" t="s">
        <v>543</v>
      </c>
      <c r="F589" t="s">
        <v>619</v>
      </c>
      <c r="G589" t="s">
        <v>620</v>
      </c>
      <c r="H589" t="s">
        <v>249</v>
      </c>
      <c r="I589" t="s">
        <v>193</v>
      </c>
      <c r="J589" t="s">
        <v>922</v>
      </c>
      <c r="K589" s="30">
        <v>43059</v>
      </c>
      <c r="L589" s="8">
        <v>43075.734490740739</v>
      </c>
      <c r="M589" s="21">
        <f>LEN(ProjTextTable[[#This Row],[text]])</f>
        <v>3385</v>
      </c>
      <c r="N589" s="21">
        <f>LEN(TRIM(CLEAN(SUBSTITUTE(ProjTextTable[[#This Row],[text]],CHAR(10)," "))))+1 - LEN(SUBSTITUTE(CLEAN(SUBSTITUTE(ProjTextTable[[#This Row],[text]],CHAR(10)," "))," ",""))</f>
        <v>490</v>
      </c>
      <c r="O589" t="s">
        <v>248</v>
      </c>
      <c r="P589" t="s">
        <v>1742</v>
      </c>
    </row>
    <row r="590" spans="1:16">
      <c r="A590">
        <f t="shared" si="9"/>
        <v>91</v>
      </c>
      <c r="B590" t="s">
        <v>1740</v>
      </c>
      <c r="C590" t="s">
        <v>1741</v>
      </c>
      <c r="D590" t="s">
        <v>205</v>
      </c>
      <c r="E590" t="s">
        <v>1668</v>
      </c>
      <c r="F590" t="s">
        <v>1669</v>
      </c>
      <c r="G590" t="s">
        <v>1670</v>
      </c>
      <c r="H590" t="s">
        <v>245</v>
      </c>
      <c r="I590" t="s">
        <v>95</v>
      </c>
      <c r="J590" t="s">
        <v>95</v>
      </c>
      <c r="K590" s="30">
        <v>43045</v>
      </c>
      <c r="L590" s="8"/>
      <c r="M590" s="21">
        <f>LEN(ProjTextTable[[#This Row],[text]])</f>
        <v>2653</v>
      </c>
      <c r="N590" s="21">
        <f>LEN(TRIM(CLEAN(SUBSTITUTE(ProjTextTable[[#This Row],[text]],CHAR(10)," "))))+1 - LEN(SUBSTITUTE(CLEAN(SUBSTITUTE(ProjTextTable[[#This Row],[text]],CHAR(10)," "))," ",""))</f>
        <v>401</v>
      </c>
      <c r="O590" t="s">
        <v>243</v>
      </c>
      <c r="P590" t="s">
        <v>1743</v>
      </c>
    </row>
    <row r="591" spans="1:16">
      <c r="A591">
        <f t="shared" si="9"/>
        <v>91</v>
      </c>
      <c r="B591" t="s">
        <v>1740</v>
      </c>
      <c r="C591" t="s">
        <v>1741</v>
      </c>
      <c r="D591" t="s">
        <v>194</v>
      </c>
      <c r="E591" t="s">
        <v>543</v>
      </c>
      <c r="F591" t="s">
        <v>1672</v>
      </c>
      <c r="G591" t="s">
        <v>1673</v>
      </c>
      <c r="H591" t="s">
        <v>1674</v>
      </c>
      <c r="I591" t="s">
        <v>209</v>
      </c>
      <c r="J591" t="s">
        <v>176</v>
      </c>
      <c r="K591" s="30">
        <v>43046</v>
      </c>
      <c r="L591" s="8">
        <v>43039.372476851851</v>
      </c>
      <c r="M591" s="21">
        <f>LEN(ProjTextTable[[#This Row],[text]])</f>
        <v>3841</v>
      </c>
      <c r="N591" s="21">
        <f>LEN(TRIM(CLEAN(SUBSTITUTE(ProjTextTable[[#This Row],[text]],CHAR(10)," "))))+1 - LEN(SUBSTITUTE(CLEAN(SUBSTITUTE(ProjTextTable[[#This Row],[text]],CHAR(10)," "))," ",""))</f>
        <v>550</v>
      </c>
      <c r="O591" t="s">
        <v>251</v>
      </c>
      <c r="P591" t="s">
        <v>1744</v>
      </c>
    </row>
    <row r="592" spans="1:16">
      <c r="A592">
        <f t="shared" si="9"/>
        <v>91</v>
      </c>
      <c r="B592" t="s">
        <v>1740</v>
      </c>
      <c r="C592" t="s">
        <v>1741</v>
      </c>
      <c r="D592" t="s">
        <v>194</v>
      </c>
      <c r="E592" t="s">
        <v>1530</v>
      </c>
      <c r="F592" t="s">
        <v>1733</v>
      </c>
      <c r="G592" t="s">
        <v>1734</v>
      </c>
      <c r="H592" t="s">
        <v>1735</v>
      </c>
      <c r="I592" t="s">
        <v>209</v>
      </c>
      <c r="J592" t="s">
        <v>176</v>
      </c>
      <c r="K592" s="30">
        <v>43060</v>
      </c>
      <c r="L592" s="8">
        <v>43054.596712962964</v>
      </c>
      <c r="M592" s="21">
        <f>LEN(ProjTextTable[[#This Row],[text]])</f>
        <v>1759</v>
      </c>
      <c r="N592" s="21">
        <f>LEN(TRIM(CLEAN(SUBSTITUTE(ProjTextTable[[#This Row],[text]],CHAR(10)," "))))+1 - LEN(SUBSTITUTE(CLEAN(SUBSTITUTE(ProjTextTable[[#This Row],[text]],CHAR(10)," "))," ",""))</f>
        <v>245</v>
      </c>
      <c r="O592" t="s">
        <v>198</v>
      </c>
      <c r="P592" t="s">
        <v>1745</v>
      </c>
    </row>
    <row r="593" spans="1:16">
      <c r="A593">
        <f t="shared" si="9"/>
        <v>91</v>
      </c>
      <c r="B593" t="s">
        <v>1740</v>
      </c>
      <c r="C593" t="s">
        <v>1741</v>
      </c>
      <c r="D593" t="s">
        <v>194</v>
      </c>
      <c r="E593" t="s">
        <v>543</v>
      </c>
      <c r="F593" t="s">
        <v>1676</v>
      </c>
      <c r="G593" t="s">
        <v>1677</v>
      </c>
      <c r="H593" t="s">
        <v>1678</v>
      </c>
      <c r="I593" t="s">
        <v>209</v>
      </c>
      <c r="J593" t="s">
        <v>176</v>
      </c>
      <c r="K593" s="30">
        <v>43046</v>
      </c>
      <c r="L593" s="8">
        <v>43045.369837962964</v>
      </c>
      <c r="M593" s="21">
        <f>LEN(ProjTextTable[[#This Row],[text]])</f>
        <v>2876</v>
      </c>
      <c r="N593" s="21">
        <f>LEN(TRIM(CLEAN(SUBSTITUTE(ProjTextTable[[#This Row],[text]],CHAR(10)," "))))+1 - LEN(SUBSTITUTE(CLEAN(SUBSTITUTE(ProjTextTable[[#This Row],[text]],CHAR(10)," "))," ",""))</f>
        <v>432</v>
      </c>
      <c r="O593" t="s">
        <v>199</v>
      </c>
      <c r="P593" t="s">
        <v>1746</v>
      </c>
    </row>
    <row r="594" spans="1:16">
      <c r="A594">
        <f t="shared" si="9"/>
        <v>91</v>
      </c>
      <c r="B594" t="s">
        <v>1740</v>
      </c>
      <c r="C594" t="s">
        <v>1741</v>
      </c>
      <c r="D594" t="s">
        <v>194</v>
      </c>
      <c r="E594" t="s">
        <v>543</v>
      </c>
      <c r="F594" t="s">
        <v>1680</v>
      </c>
      <c r="G594" t="s">
        <v>1681</v>
      </c>
      <c r="H594" t="s">
        <v>1682</v>
      </c>
      <c r="I594" t="s">
        <v>209</v>
      </c>
      <c r="J594" t="s">
        <v>176</v>
      </c>
      <c r="K594" s="30">
        <v>43046</v>
      </c>
      <c r="L594" s="8">
        <v>43045.456018518518</v>
      </c>
      <c r="M594" s="21">
        <f>LEN(ProjTextTable[[#This Row],[text]])</f>
        <v>3520</v>
      </c>
      <c r="N594" s="21">
        <f>LEN(TRIM(CLEAN(SUBSTITUTE(ProjTextTable[[#This Row],[text]],CHAR(10)," "))))+1 - LEN(SUBSTITUTE(CLEAN(SUBSTITUTE(ProjTextTable[[#This Row],[text]],CHAR(10)," "))," ",""))</f>
        <v>524</v>
      </c>
      <c r="O594" t="s">
        <v>199</v>
      </c>
      <c r="P594" t="s">
        <v>1747</v>
      </c>
    </row>
    <row r="595" spans="1:16">
      <c r="A595">
        <f t="shared" si="9"/>
        <v>91</v>
      </c>
      <c r="B595" t="s">
        <v>1740</v>
      </c>
      <c r="C595" t="s">
        <v>1741</v>
      </c>
      <c r="D595" t="s">
        <v>194</v>
      </c>
      <c r="E595" t="s">
        <v>543</v>
      </c>
      <c r="F595" t="s">
        <v>1684</v>
      </c>
      <c r="G595" t="s">
        <v>1685</v>
      </c>
      <c r="H595" t="s">
        <v>1686</v>
      </c>
      <c r="I595" t="s">
        <v>209</v>
      </c>
      <c r="J595" t="s">
        <v>176</v>
      </c>
      <c r="K595" s="30">
        <v>43046</v>
      </c>
      <c r="L595" s="8">
        <v>43045.369942129626</v>
      </c>
      <c r="M595" s="21">
        <f>LEN(ProjTextTable[[#This Row],[text]])</f>
        <v>2671</v>
      </c>
      <c r="N595" s="21">
        <f>LEN(TRIM(CLEAN(SUBSTITUTE(ProjTextTable[[#This Row],[text]],CHAR(10)," "))))+1 - LEN(SUBSTITUTE(CLEAN(SUBSTITUTE(ProjTextTable[[#This Row],[text]],CHAR(10)," "))," ",""))</f>
        <v>392</v>
      </c>
      <c r="O595" t="s">
        <v>251</v>
      </c>
      <c r="P595" t="s">
        <v>1748</v>
      </c>
    </row>
    <row r="596" spans="1:16">
      <c r="A596">
        <f t="shared" si="9"/>
        <v>91</v>
      </c>
      <c r="B596" t="s">
        <v>1740</v>
      </c>
      <c r="C596" t="s">
        <v>1741</v>
      </c>
      <c r="D596" t="s">
        <v>194</v>
      </c>
      <c r="E596" t="s">
        <v>543</v>
      </c>
      <c r="F596" t="s">
        <v>1515</v>
      </c>
      <c r="G596" t="s">
        <v>1516</v>
      </c>
      <c r="H596" t="s">
        <v>1517</v>
      </c>
      <c r="I596" t="s">
        <v>209</v>
      </c>
      <c r="J596" t="s">
        <v>176</v>
      </c>
      <c r="K596" s="30">
        <v>43060</v>
      </c>
      <c r="L596" s="8">
        <v>43058.706030092595</v>
      </c>
      <c r="M596" s="21">
        <f>LEN(ProjTextTable[[#This Row],[text]])</f>
        <v>2644</v>
      </c>
      <c r="N596" s="21">
        <f>LEN(TRIM(CLEAN(SUBSTITUTE(ProjTextTable[[#This Row],[text]],CHAR(10)," "))))+1 - LEN(SUBSTITUTE(CLEAN(SUBSTITUTE(ProjTextTable[[#This Row],[text]],CHAR(10)," "))," ",""))</f>
        <v>386</v>
      </c>
      <c r="O596" t="s">
        <v>195</v>
      </c>
      <c r="P596" t="s">
        <v>1749</v>
      </c>
    </row>
    <row r="597" spans="1:16">
      <c r="A597">
        <f t="shared" si="9"/>
        <v>91</v>
      </c>
      <c r="B597" t="s">
        <v>1740</v>
      </c>
      <c r="C597" t="s">
        <v>1741</v>
      </c>
      <c r="D597" t="s">
        <v>194</v>
      </c>
      <c r="E597" t="s">
        <v>543</v>
      </c>
      <c r="F597" t="s">
        <v>1552</v>
      </c>
      <c r="G597" t="s">
        <v>1553</v>
      </c>
      <c r="H597" t="s">
        <v>1554</v>
      </c>
      <c r="I597" t="s">
        <v>209</v>
      </c>
      <c r="J597" t="s">
        <v>176</v>
      </c>
      <c r="K597" s="30">
        <v>43060</v>
      </c>
      <c r="L597" s="8">
        <v>43059.921643518515</v>
      </c>
      <c r="M597" s="21">
        <f>LEN(ProjTextTable[[#This Row],[text]])</f>
        <v>1181</v>
      </c>
      <c r="N597" s="21">
        <f>LEN(TRIM(CLEAN(SUBSTITUTE(ProjTextTable[[#This Row],[text]],CHAR(10)," "))))+1 - LEN(SUBSTITUTE(CLEAN(SUBSTITUTE(ProjTextTable[[#This Row],[text]],CHAR(10)," "))," ",""))</f>
        <v>164</v>
      </c>
      <c r="O597" t="s">
        <v>251</v>
      </c>
      <c r="P597" t="s">
        <v>1750</v>
      </c>
    </row>
    <row r="598" spans="1:16">
      <c r="A598">
        <f t="shared" si="9"/>
        <v>91</v>
      </c>
      <c r="B598" t="s">
        <v>1740</v>
      </c>
      <c r="C598" t="s">
        <v>1741</v>
      </c>
      <c r="D598" t="s">
        <v>194</v>
      </c>
      <c r="E598" t="s">
        <v>543</v>
      </c>
      <c r="F598" t="s">
        <v>1556</v>
      </c>
      <c r="G598" t="s">
        <v>1557</v>
      </c>
      <c r="H598" t="s">
        <v>1558</v>
      </c>
      <c r="I598" t="s">
        <v>209</v>
      </c>
      <c r="J598" t="s">
        <v>176</v>
      </c>
      <c r="K598" s="30">
        <v>43060</v>
      </c>
      <c r="L598" s="8">
        <v>43056.623159722221</v>
      </c>
      <c r="M598" s="21">
        <f>LEN(ProjTextTable[[#This Row],[text]])</f>
        <v>1458</v>
      </c>
      <c r="N598" s="21">
        <f>LEN(TRIM(CLEAN(SUBSTITUTE(ProjTextTable[[#This Row],[text]],CHAR(10)," "))))+1 - LEN(SUBSTITUTE(CLEAN(SUBSTITUTE(ProjTextTable[[#This Row],[text]],CHAR(10)," "))," ",""))</f>
        <v>203</v>
      </c>
      <c r="O598" t="s">
        <v>198</v>
      </c>
      <c r="P598" t="s">
        <v>1751</v>
      </c>
    </row>
    <row r="599" spans="1:16">
      <c r="A599">
        <f t="shared" si="9"/>
        <v>91</v>
      </c>
      <c r="B599" t="s">
        <v>1740</v>
      </c>
      <c r="C599" t="s">
        <v>1741</v>
      </c>
      <c r="D599" t="s">
        <v>196</v>
      </c>
      <c r="E599" t="s">
        <v>1530</v>
      </c>
      <c r="F599" t="s">
        <v>13</v>
      </c>
      <c r="G599" t="s">
        <v>13</v>
      </c>
      <c r="H599" t="s">
        <v>13</v>
      </c>
      <c r="K599" s="30"/>
      <c r="L599" s="8">
        <v>42936.044328703705</v>
      </c>
      <c r="M599" s="21">
        <f>LEN(ProjTextTable[[#This Row],[text]])</f>
        <v>3427</v>
      </c>
      <c r="N599" s="21">
        <f>LEN(TRIM(CLEAN(SUBSTITUTE(ProjTextTable[[#This Row],[text]],CHAR(10)," "))))+1 - LEN(SUBSTITUTE(CLEAN(SUBSTITUTE(ProjTextTable[[#This Row],[text]],CHAR(10)," "))," ",""))</f>
        <v>475</v>
      </c>
      <c r="O599" t="s">
        <v>13</v>
      </c>
      <c r="P599" t="s">
        <v>1752</v>
      </c>
    </row>
    <row r="600" spans="1:16">
      <c r="A600">
        <f t="shared" si="9"/>
        <v>92</v>
      </c>
      <c r="B600" t="s">
        <v>1753</v>
      </c>
      <c r="C600" t="s">
        <v>1754</v>
      </c>
      <c r="D600" t="s">
        <v>205</v>
      </c>
      <c r="E600" t="s">
        <v>543</v>
      </c>
      <c r="F600" t="s">
        <v>619</v>
      </c>
      <c r="G600" t="s">
        <v>620</v>
      </c>
      <c r="H600" t="s">
        <v>365</v>
      </c>
      <c r="I600" t="s">
        <v>200</v>
      </c>
      <c r="J600" t="s">
        <v>1573</v>
      </c>
      <c r="K600" s="30">
        <v>43059</v>
      </c>
      <c r="L600" s="8"/>
      <c r="M600" s="21">
        <f>LEN(ProjTextTable[[#This Row],[text]])</f>
        <v>1447</v>
      </c>
      <c r="N600" s="21">
        <f>LEN(TRIM(CLEAN(SUBSTITUTE(ProjTextTable[[#This Row],[text]],CHAR(10)," "))))+1 - LEN(SUBSTITUTE(CLEAN(SUBSTITUTE(ProjTextTable[[#This Row],[text]],CHAR(10)," "))," ",""))</f>
        <v>216</v>
      </c>
      <c r="O600" t="s">
        <v>344</v>
      </c>
      <c r="P600" t="s">
        <v>1755</v>
      </c>
    </row>
    <row r="601" spans="1:16">
      <c r="A601">
        <f t="shared" si="9"/>
        <v>92</v>
      </c>
      <c r="B601" t="s">
        <v>1753</v>
      </c>
      <c r="C601" t="s">
        <v>1754</v>
      </c>
      <c r="D601" t="s">
        <v>194</v>
      </c>
      <c r="E601" t="s">
        <v>543</v>
      </c>
      <c r="F601" t="s">
        <v>1756</v>
      </c>
      <c r="G601" t="s">
        <v>1757</v>
      </c>
      <c r="H601" t="s">
        <v>1758</v>
      </c>
      <c r="I601" t="s">
        <v>176</v>
      </c>
      <c r="J601" t="s">
        <v>176</v>
      </c>
      <c r="K601" s="30">
        <v>43052</v>
      </c>
      <c r="L601" s="8">
        <v>43054.683379629627</v>
      </c>
      <c r="M601" s="21">
        <f>LEN(ProjTextTable[[#This Row],[text]])</f>
        <v>4205</v>
      </c>
      <c r="N601" s="21">
        <f>LEN(TRIM(CLEAN(SUBSTITUTE(ProjTextTable[[#This Row],[text]],CHAR(10)," "))))+1 - LEN(SUBSTITUTE(CLEAN(SUBSTITUTE(ProjTextTable[[#This Row],[text]],CHAR(10)," "))," ",""))</f>
        <v>653</v>
      </c>
      <c r="O601" t="s">
        <v>201</v>
      </c>
      <c r="P601" t="s">
        <v>1759</v>
      </c>
    </row>
    <row r="602" spans="1:16">
      <c r="A602">
        <f t="shared" si="9"/>
        <v>92</v>
      </c>
      <c r="B602" t="s">
        <v>1753</v>
      </c>
      <c r="C602" t="s">
        <v>1754</v>
      </c>
      <c r="D602" t="s">
        <v>194</v>
      </c>
      <c r="E602" t="s">
        <v>543</v>
      </c>
      <c r="F602" t="s">
        <v>1515</v>
      </c>
      <c r="G602" t="s">
        <v>1516</v>
      </c>
      <c r="H602" t="s">
        <v>1517</v>
      </c>
      <c r="I602" t="s">
        <v>209</v>
      </c>
      <c r="J602" t="s">
        <v>176</v>
      </c>
      <c r="K602" s="30">
        <v>43060</v>
      </c>
      <c r="L602" s="8">
        <v>43059.477754629632</v>
      </c>
      <c r="M602" s="21">
        <f>LEN(ProjTextTable[[#This Row],[text]])</f>
        <v>1203</v>
      </c>
      <c r="N602" s="21">
        <f>LEN(TRIM(CLEAN(SUBSTITUTE(ProjTextTable[[#This Row],[text]],CHAR(10)," "))))+1 - LEN(SUBSTITUTE(CLEAN(SUBSTITUTE(ProjTextTable[[#This Row],[text]],CHAR(10)," "))," ",""))</f>
        <v>182</v>
      </c>
      <c r="O602" t="s">
        <v>201</v>
      </c>
      <c r="P602" t="s">
        <v>1760</v>
      </c>
    </row>
    <row r="603" spans="1:16">
      <c r="A603">
        <f t="shared" si="9"/>
        <v>92</v>
      </c>
      <c r="B603" t="s">
        <v>1753</v>
      </c>
      <c r="C603" t="s">
        <v>1754</v>
      </c>
      <c r="D603" t="s">
        <v>194</v>
      </c>
      <c r="E603" t="s">
        <v>543</v>
      </c>
      <c r="F603" t="s">
        <v>1660</v>
      </c>
      <c r="G603" t="s">
        <v>1661</v>
      </c>
      <c r="H603" t="s">
        <v>1662</v>
      </c>
      <c r="I603" t="s">
        <v>209</v>
      </c>
      <c r="J603" t="s">
        <v>176</v>
      </c>
      <c r="K603" s="30">
        <v>43060</v>
      </c>
      <c r="L603" s="8">
        <v>43058.704224537039</v>
      </c>
      <c r="M603" s="21">
        <f>LEN(ProjTextTable[[#This Row],[text]])</f>
        <v>5019</v>
      </c>
      <c r="N603" s="21">
        <f>LEN(TRIM(CLEAN(SUBSTITUTE(ProjTextTable[[#This Row],[text]],CHAR(10)," "))))+1 - LEN(SUBSTITUTE(CLEAN(SUBSTITUTE(ProjTextTable[[#This Row],[text]],CHAR(10)," "))," ",""))</f>
        <v>779</v>
      </c>
      <c r="O603" t="s">
        <v>195</v>
      </c>
      <c r="P603" t="s">
        <v>1761</v>
      </c>
    </row>
    <row r="604" spans="1:16">
      <c r="A604">
        <f t="shared" si="9"/>
        <v>92</v>
      </c>
      <c r="B604" t="s">
        <v>1753</v>
      </c>
      <c r="C604" t="s">
        <v>1754</v>
      </c>
      <c r="D604" t="s">
        <v>194</v>
      </c>
      <c r="E604" t="s">
        <v>543</v>
      </c>
      <c r="F604" t="s">
        <v>1556</v>
      </c>
      <c r="G604" t="s">
        <v>1557</v>
      </c>
      <c r="H604" t="s">
        <v>1558</v>
      </c>
      <c r="I604" t="s">
        <v>209</v>
      </c>
      <c r="J604" t="s">
        <v>176</v>
      </c>
      <c r="K604" s="30">
        <v>43060</v>
      </c>
      <c r="L604" s="8">
        <v>43058.716354166667</v>
      </c>
      <c r="M604" s="21">
        <f>LEN(ProjTextTable[[#This Row],[text]])</f>
        <v>1478</v>
      </c>
      <c r="N604" s="21">
        <f>LEN(TRIM(CLEAN(SUBSTITUTE(ProjTextTable[[#This Row],[text]],CHAR(10)," "))))+1 - LEN(SUBSTITUTE(CLEAN(SUBSTITUTE(ProjTextTable[[#This Row],[text]],CHAR(10)," "))," ",""))</f>
        <v>222</v>
      </c>
      <c r="O604" t="s">
        <v>201</v>
      </c>
      <c r="P604" t="s">
        <v>1762</v>
      </c>
    </row>
    <row r="605" spans="1:16">
      <c r="A605">
        <f t="shared" si="9"/>
        <v>92</v>
      </c>
      <c r="B605" t="s">
        <v>1753</v>
      </c>
      <c r="C605" t="s">
        <v>1754</v>
      </c>
      <c r="D605" t="s">
        <v>196</v>
      </c>
      <c r="E605" t="s">
        <v>543</v>
      </c>
      <c r="F605" t="s">
        <v>13</v>
      </c>
      <c r="G605" t="s">
        <v>13</v>
      </c>
      <c r="H605" t="s">
        <v>13</v>
      </c>
      <c r="K605" s="30"/>
      <c r="L605" s="8">
        <v>42936.044548611113</v>
      </c>
      <c r="M605" s="21">
        <f>LEN(ProjTextTable[[#This Row],[text]])</f>
        <v>3585</v>
      </c>
      <c r="N605" s="21">
        <f>LEN(TRIM(CLEAN(SUBSTITUTE(ProjTextTable[[#This Row],[text]],CHAR(10)," "))))+1 - LEN(SUBSTITUTE(CLEAN(SUBSTITUTE(ProjTextTable[[#This Row],[text]],CHAR(10)," "))," ",""))</f>
        <v>485</v>
      </c>
      <c r="O605" t="s">
        <v>13</v>
      </c>
      <c r="P605" t="s">
        <v>1763</v>
      </c>
    </row>
    <row r="606" spans="1:16">
      <c r="A606">
        <f t="shared" si="9"/>
        <v>93</v>
      </c>
      <c r="B606" t="s">
        <v>1764</v>
      </c>
      <c r="C606" t="s">
        <v>1765</v>
      </c>
      <c r="D606" t="s">
        <v>205</v>
      </c>
      <c r="E606" t="s">
        <v>543</v>
      </c>
      <c r="F606" t="s">
        <v>619</v>
      </c>
      <c r="G606" t="s">
        <v>620</v>
      </c>
      <c r="H606" t="s">
        <v>207</v>
      </c>
      <c r="I606" t="s">
        <v>197</v>
      </c>
      <c r="J606" t="s">
        <v>252</v>
      </c>
      <c r="K606" s="30">
        <v>43059</v>
      </c>
      <c r="L606" s="8"/>
      <c r="M606" s="21">
        <f>LEN(ProjTextTable[[#This Row],[text]])</f>
        <v>2333</v>
      </c>
      <c r="N606" s="21">
        <f>LEN(TRIM(CLEAN(SUBSTITUTE(ProjTextTable[[#This Row],[text]],CHAR(10)," "))))+1 - LEN(SUBSTITUTE(CLEAN(SUBSTITUTE(ProjTextTable[[#This Row],[text]],CHAR(10)," "))," ",""))</f>
        <v>329</v>
      </c>
      <c r="O606" t="s">
        <v>208</v>
      </c>
      <c r="P606" t="s">
        <v>1766</v>
      </c>
    </row>
    <row r="607" spans="1:16">
      <c r="A607">
        <f t="shared" si="9"/>
        <v>93</v>
      </c>
      <c r="B607" t="s">
        <v>1764</v>
      </c>
      <c r="C607" t="s">
        <v>1765</v>
      </c>
      <c r="D607" t="s">
        <v>194</v>
      </c>
      <c r="E607" t="s">
        <v>543</v>
      </c>
      <c r="F607" t="s">
        <v>634</v>
      </c>
      <c r="G607" t="s">
        <v>635</v>
      </c>
      <c r="H607" t="s">
        <v>636</v>
      </c>
      <c r="I607" t="s">
        <v>209</v>
      </c>
      <c r="J607" t="s">
        <v>176</v>
      </c>
      <c r="K607" s="30">
        <v>43060</v>
      </c>
      <c r="L607" s="8">
        <v>43056.704629629632</v>
      </c>
      <c r="M607" s="21">
        <f>LEN(ProjTextTable[[#This Row],[text]])</f>
        <v>5008</v>
      </c>
      <c r="N607" s="21">
        <f>LEN(TRIM(CLEAN(SUBSTITUTE(ProjTextTable[[#This Row],[text]],CHAR(10)," "))))+1 - LEN(SUBSTITUTE(CLEAN(SUBSTITUTE(ProjTextTable[[#This Row],[text]],CHAR(10)," "))," ",""))</f>
        <v>768</v>
      </c>
      <c r="O607" t="s">
        <v>199</v>
      </c>
      <c r="P607" t="s">
        <v>1767</v>
      </c>
    </row>
    <row r="608" spans="1:16">
      <c r="A608">
        <f t="shared" si="9"/>
        <v>93</v>
      </c>
      <c r="B608" t="s">
        <v>1764</v>
      </c>
      <c r="C608" t="s">
        <v>1765</v>
      </c>
      <c r="D608" t="s">
        <v>194</v>
      </c>
      <c r="E608" t="s">
        <v>543</v>
      </c>
      <c r="F608" t="s">
        <v>1515</v>
      </c>
      <c r="G608" t="s">
        <v>1516</v>
      </c>
      <c r="H608" t="s">
        <v>1517</v>
      </c>
      <c r="I608" t="s">
        <v>209</v>
      </c>
      <c r="J608" t="s">
        <v>176</v>
      </c>
      <c r="K608" s="30">
        <v>43060</v>
      </c>
      <c r="L608" s="8">
        <v>43057.881145833337</v>
      </c>
      <c r="M608" s="21">
        <f>LEN(ProjTextTable[[#This Row],[text]])</f>
        <v>1852</v>
      </c>
      <c r="N608" s="21">
        <f>LEN(TRIM(CLEAN(SUBSTITUTE(ProjTextTable[[#This Row],[text]],CHAR(10)," "))))+1 - LEN(SUBSTITUTE(CLEAN(SUBSTITUTE(ProjTextTable[[#This Row],[text]],CHAR(10)," "))," ",""))</f>
        <v>275</v>
      </c>
      <c r="O608" t="s">
        <v>251</v>
      </c>
      <c r="P608" t="s">
        <v>1768</v>
      </c>
    </row>
    <row r="609" spans="1:16">
      <c r="A609">
        <f t="shared" si="9"/>
        <v>93</v>
      </c>
      <c r="B609" t="s">
        <v>1764</v>
      </c>
      <c r="C609" t="s">
        <v>1765</v>
      </c>
      <c r="D609" t="s">
        <v>194</v>
      </c>
      <c r="E609" t="s">
        <v>543</v>
      </c>
      <c r="F609" t="s">
        <v>1552</v>
      </c>
      <c r="G609" t="s">
        <v>1553</v>
      </c>
      <c r="H609" t="s">
        <v>1554</v>
      </c>
      <c r="I609" t="s">
        <v>209</v>
      </c>
      <c r="J609" t="s">
        <v>176</v>
      </c>
      <c r="K609" s="30">
        <v>43060</v>
      </c>
      <c r="L609" s="8">
        <v>43060.310567129629</v>
      </c>
      <c r="M609" s="21">
        <f>LEN(ProjTextTable[[#This Row],[text]])</f>
        <v>2068</v>
      </c>
      <c r="N609" s="21">
        <f>LEN(TRIM(CLEAN(SUBSTITUTE(ProjTextTable[[#This Row],[text]],CHAR(10)," "))))+1 - LEN(SUBSTITUTE(CLEAN(SUBSTITUTE(ProjTextTable[[#This Row],[text]],CHAR(10)," "))," ",""))</f>
        <v>303</v>
      </c>
      <c r="O609" t="s">
        <v>199</v>
      </c>
      <c r="P609" t="s">
        <v>1769</v>
      </c>
    </row>
    <row r="610" spans="1:16">
      <c r="A610">
        <f t="shared" si="9"/>
        <v>93</v>
      </c>
      <c r="B610" t="s">
        <v>1764</v>
      </c>
      <c r="C610" t="s">
        <v>1765</v>
      </c>
      <c r="D610" t="s">
        <v>194</v>
      </c>
      <c r="E610" t="s">
        <v>543</v>
      </c>
      <c r="F610" t="s">
        <v>1565</v>
      </c>
      <c r="G610" t="s">
        <v>1566</v>
      </c>
      <c r="H610" t="s">
        <v>1567</v>
      </c>
      <c r="I610" t="s">
        <v>209</v>
      </c>
      <c r="J610" t="s">
        <v>176</v>
      </c>
      <c r="K610" s="30">
        <v>43060</v>
      </c>
      <c r="L610" s="8">
        <v>43058.972141203703</v>
      </c>
      <c r="M610" s="21">
        <f>LEN(ProjTextTable[[#This Row],[text]])</f>
        <v>3250</v>
      </c>
      <c r="N610" s="21">
        <f>LEN(TRIM(CLEAN(SUBSTITUTE(ProjTextTable[[#This Row],[text]],CHAR(10)," "))))+1 - LEN(SUBSTITUTE(CLEAN(SUBSTITUTE(ProjTextTable[[#This Row],[text]],CHAR(10)," "))," ",""))</f>
        <v>478</v>
      </c>
      <c r="O610" t="s">
        <v>199</v>
      </c>
      <c r="P610" t="s">
        <v>1770</v>
      </c>
    </row>
    <row r="611" spans="1:16">
      <c r="A611">
        <f t="shared" si="9"/>
        <v>93</v>
      </c>
      <c r="B611" t="s">
        <v>1764</v>
      </c>
      <c r="C611" t="s">
        <v>1765</v>
      </c>
      <c r="D611" t="s">
        <v>196</v>
      </c>
      <c r="E611" t="s">
        <v>543</v>
      </c>
      <c r="F611" t="s">
        <v>13</v>
      </c>
      <c r="G611" t="s">
        <v>13</v>
      </c>
      <c r="H611" t="s">
        <v>13</v>
      </c>
      <c r="K611" s="30"/>
      <c r="L611" s="8">
        <v>42936.044930555552</v>
      </c>
      <c r="M611" s="21">
        <f>LEN(ProjTextTable[[#This Row],[text]])</f>
        <v>2745</v>
      </c>
      <c r="N611" s="21">
        <f>LEN(TRIM(CLEAN(SUBSTITUTE(ProjTextTable[[#This Row],[text]],CHAR(10)," "))))+1 - LEN(SUBSTITUTE(CLEAN(SUBSTITUTE(ProjTextTable[[#This Row],[text]],CHAR(10)," "))," ",""))</f>
        <v>405</v>
      </c>
      <c r="O611" t="s">
        <v>13</v>
      </c>
      <c r="P611" t="s">
        <v>1771</v>
      </c>
    </row>
    <row r="612" spans="1:16">
      <c r="A612">
        <f t="shared" si="9"/>
        <v>94</v>
      </c>
      <c r="B612" t="s">
        <v>678</v>
      </c>
      <c r="C612" t="s">
        <v>679</v>
      </c>
      <c r="D612" t="s">
        <v>205</v>
      </c>
      <c r="E612" t="s">
        <v>543</v>
      </c>
      <c r="F612" t="s">
        <v>544</v>
      </c>
      <c r="G612" t="s">
        <v>545</v>
      </c>
      <c r="H612" t="s">
        <v>249</v>
      </c>
      <c r="I612" t="s">
        <v>193</v>
      </c>
      <c r="J612" t="s">
        <v>566</v>
      </c>
      <c r="K612" s="30">
        <v>43031</v>
      </c>
      <c r="L612" s="8"/>
      <c r="M612" s="21">
        <f>LEN(ProjTextTable[[#This Row],[text]])</f>
        <v>2447</v>
      </c>
      <c r="N612" s="21">
        <f>LEN(TRIM(CLEAN(SUBSTITUTE(ProjTextTable[[#This Row],[text]],CHAR(10)," "))))+1 - LEN(SUBSTITUTE(CLEAN(SUBSTITUTE(ProjTextTable[[#This Row],[text]],CHAR(10)," "))," ",""))</f>
        <v>338</v>
      </c>
      <c r="O612" t="s">
        <v>248</v>
      </c>
      <c r="P612" t="s">
        <v>680</v>
      </c>
    </row>
    <row r="613" spans="1:16">
      <c r="A613">
        <f t="shared" si="9"/>
        <v>94</v>
      </c>
      <c r="B613" t="s">
        <v>678</v>
      </c>
      <c r="C613" t="s">
        <v>679</v>
      </c>
      <c r="D613" t="s">
        <v>194</v>
      </c>
      <c r="E613" t="s">
        <v>543</v>
      </c>
      <c r="F613" t="s">
        <v>568</v>
      </c>
      <c r="G613" t="s">
        <v>569</v>
      </c>
      <c r="H613" t="s">
        <v>570</v>
      </c>
      <c r="I613" t="s">
        <v>209</v>
      </c>
      <c r="J613" t="s">
        <v>176</v>
      </c>
      <c r="K613" s="30">
        <v>43032</v>
      </c>
      <c r="L613" s="8">
        <v>43025.748668981483</v>
      </c>
      <c r="M613" s="21">
        <f>LEN(ProjTextTable[[#This Row],[text]])</f>
        <v>2351</v>
      </c>
      <c r="N613" s="21">
        <f>LEN(TRIM(CLEAN(SUBSTITUTE(ProjTextTable[[#This Row],[text]],CHAR(10)," "))))+1 - LEN(SUBSTITUTE(CLEAN(SUBSTITUTE(ProjTextTable[[#This Row],[text]],CHAR(10)," "))," ",""))</f>
        <v>366</v>
      </c>
      <c r="O613" t="s">
        <v>203</v>
      </c>
      <c r="P613" t="s">
        <v>681</v>
      </c>
    </row>
    <row r="614" spans="1:16">
      <c r="A614">
        <f t="shared" si="9"/>
        <v>94</v>
      </c>
      <c r="B614" t="s">
        <v>678</v>
      </c>
      <c r="C614" t="s">
        <v>679</v>
      </c>
      <c r="D614" t="s">
        <v>194</v>
      </c>
      <c r="E614" t="s">
        <v>540</v>
      </c>
      <c r="F614" t="s">
        <v>572</v>
      </c>
      <c r="G614" t="s">
        <v>573</v>
      </c>
      <c r="H614" t="s">
        <v>574</v>
      </c>
      <c r="I614" t="s">
        <v>209</v>
      </c>
      <c r="J614" t="s">
        <v>176</v>
      </c>
      <c r="K614" s="30">
        <v>43032</v>
      </c>
      <c r="L614" s="8">
        <v>43030.178067129629</v>
      </c>
      <c r="M614" s="21">
        <f>LEN(ProjTextTable[[#This Row],[text]])</f>
        <v>2003</v>
      </c>
      <c r="N614" s="21">
        <f>LEN(TRIM(CLEAN(SUBSTITUTE(ProjTextTable[[#This Row],[text]],CHAR(10)," "))))+1 - LEN(SUBSTITUTE(CLEAN(SUBSTITUTE(ProjTextTable[[#This Row],[text]],CHAR(10)," "))," ",""))</f>
        <v>303</v>
      </c>
      <c r="O614" t="s">
        <v>201</v>
      </c>
      <c r="P614" t="s">
        <v>682</v>
      </c>
    </row>
    <row r="615" spans="1:16">
      <c r="A615">
        <f t="shared" si="9"/>
        <v>94</v>
      </c>
      <c r="B615" t="s">
        <v>678</v>
      </c>
      <c r="C615" t="s">
        <v>679</v>
      </c>
      <c r="D615" t="s">
        <v>194</v>
      </c>
      <c r="E615" t="s">
        <v>543</v>
      </c>
      <c r="F615" t="s">
        <v>576</v>
      </c>
      <c r="G615" t="s">
        <v>577</v>
      </c>
      <c r="H615" t="s">
        <v>578</v>
      </c>
      <c r="I615" t="s">
        <v>209</v>
      </c>
      <c r="J615" t="s">
        <v>176</v>
      </c>
      <c r="K615" s="30">
        <v>43032</v>
      </c>
      <c r="L615" s="8">
        <v>43028.861886574072</v>
      </c>
      <c r="M615" s="21">
        <f>LEN(ProjTextTable[[#This Row],[text]])</f>
        <v>2634</v>
      </c>
      <c r="N615" s="21">
        <f>LEN(TRIM(CLEAN(SUBSTITUTE(ProjTextTable[[#This Row],[text]],CHAR(10)," "))))+1 - LEN(SUBSTITUTE(CLEAN(SUBSTITUTE(ProjTextTable[[#This Row],[text]],CHAR(10)," "))," ",""))</f>
        <v>405</v>
      </c>
      <c r="O615" t="s">
        <v>195</v>
      </c>
      <c r="P615" t="s">
        <v>683</v>
      </c>
    </row>
    <row r="616" spans="1:16">
      <c r="A616">
        <f t="shared" si="9"/>
        <v>94</v>
      </c>
      <c r="B616" t="s">
        <v>678</v>
      </c>
      <c r="C616" t="s">
        <v>679</v>
      </c>
      <c r="D616" t="s">
        <v>194</v>
      </c>
      <c r="E616" t="s">
        <v>543</v>
      </c>
      <c r="F616" t="s">
        <v>673</v>
      </c>
      <c r="G616" t="s">
        <v>674</v>
      </c>
      <c r="H616" t="s">
        <v>675</v>
      </c>
      <c r="I616" t="s">
        <v>209</v>
      </c>
      <c r="J616" t="s">
        <v>176</v>
      </c>
      <c r="K616" s="30">
        <v>43032</v>
      </c>
      <c r="L616" s="8">
        <v>43027.634618055556</v>
      </c>
      <c r="M616" s="21">
        <f>LEN(ProjTextTable[[#This Row],[text]])</f>
        <v>2484</v>
      </c>
      <c r="N616" s="21">
        <f>LEN(TRIM(CLEAN(SUBSTITUTE(ProjTextTable[[#This Row],[text]],CHAR(10)," "))))+1 - LEN(SUBSTITUTE(CLEAN(SUBSTITUTE(ProjTextTable[[#This Row],[text]],CHAR(10)," "))," ",""))</f>
        <v>378</v>
      </c>
      <c r="O616" t="s">
        <v>199</v>
      </c>
      <c r="P616" t="s">
        <v>684</v>
      </c>
    </row>
    <row r="617" spans="1:16">
      <c r="A617">
        <f t="shared" si="9"/>
        <v>94</v>
      </c>
      <c r="B617" t="s">
        <v>678</v>
      </c>
      <c r="C617" t="s">
        <v>679</v>
      </c>
      <c r="D617" t="s">
        <v>196</v>
      </c>
      <c r="E617" t="s">
        <v>540</v>
      </c>
      <c r="F617" t="s">
        <v>13</v>
      </c>
      <c r="G617" t="s">
        <v>13</v>
      </c>
      <c r="H617" t="s">
        <v>13</v>
      </c>
      <c r="K617" s="30"/>
      <c r="L617" s="8">
        <v>42936.044953703706</v>
      </c>
      <c r="M617" s="21">
        <f>LEN(ProjTextTable[[#This Row],[text]])</f>
        <v>3898</v>
      </c>
      <c r="N617" s="21">
        <f>LEN(TRIM(CLEAN(SUBSTITUTE(ProjTextTable[[#This Row],[text]],CHAR(10)," "))))+1 - LEN(SUBSTITUTE(CLEAN(SUBSTITUTE(ProjTextTable[[#This Row],[text]],CHAR(10)," "))," ",""))</f>
        <v>569</v>
      </c>
      <c r="O617" t="s">
        <v>13</v>
      </c>
      <c r="P617" t="s">
        <v>685</v>
      </c>
    </row>
    <row r="618" spans="1:16">
      <c r="A618">
        <f t="shared" si="9"/>
        <v>95</v>
      </c>
      <c r="B618" t="s">
        <v>1772</v>
      </c>
      <c r="C618" t="s">
        <v>1773</v>
      </c>
      <c r="D618" t="s">
        <v>205</v>
      </c>
      <c r="E618" t="s">
        <v>543</v>
      </c>
      <c r="F618" t="s">
        <v>619</v>
      </c>
      <c r="G618" t="s">
        <v>620</v>
      </c>
      <c r="H618" t="s">
        <v>249</v>
      </c>
      <c r="I618" t="s">
        <v>193</v>
      </c>
      <c r="J618" t="s">
        <v>922</v>
      </c>
      <c r="K618" s="30">
        <v>43059</v>
      </c>
      <c r="L618" s="8"/>
      <c r="M618" s="21">
        <f>LEN(ProjTextTable[[#This Row],[text]])</f>
        <v>2566</v>
      </c>
      <c r="N618" s="21">
        <f>LEN(TRIM(CLEAN(SUBSTITUTE(ProjTextTable[[#This Row],[text]],CHAR(10)," "))))+1 - LEN(SUBSTITUTE(CLEAN(SUBSTITUTE(ProjTextTable[[#This Row],[text]],CHAR(10)," "))," ",""))</f>
        <v>369</v>
      </c>
      <c r="O618" t="s">
        <v>248</v>
      </c>
      <c r="P618" t="s">
        <v>1774</v>
      </c>
    </row>
    <row r="619" spans="1:16">
      <c r="A619">
        <f t="shared" si="9"/>
        <v>95</v>
      </c>
      <c r="B619" t="s">
        <v>1772</v>
      </c>
      <c r="C619" t="s">
        <v>1773</v>
      </c>
      <c r="D619" t="s">
        <v>194</v>
      </c>
      <c r="E619" t="s">
        <v>543</v>
      </c>
      <c r="F619" t="s">
        <v>622</v>
      </c>
      <c r="G619" t="s">
        <v>623</v>
      </c>
      <c r="H619" t="s">
        <v>624</v>
      </c>
      <c r="I619" t="s">
        <v>209</v>
      </c>
      <c r="J619" t="s">
        <v>176</v>
      </c>
      <c r="K619" s="30">
        <v>43060</v>
      </c>
      <c r="L619" s="8">
        <v>43055.992812500001</v>
      </c>
      <c r="M619" s="21">
        <f>LEN(ProjTextTable[[#This Row],[text]])</f>
        <v>1959</v>
      </c>
      <c r="N619" s="21">
        <f>LEN(TRIM(CLEAN(SUBSTITUTE(ProjTextTable[[#This Row],[text]],CHAR(10)," "))))+1 - LEN(SUBSTITUTE(CLEAN(SUBSTITUTE(ProjTextTable[[#This Row],[text]],CHAR(10)," "))," ",""))</f>
        <v>275</v>
      </c>
      <c r="O619" t="s">
        <v>201</v>
      </c>
      <c r="P619" t="s">
        <v>1775</v>
      </c>
    </row>
    <row r="620" spans="1:16">
      <c r="A620">
        <f t="shared" si="9"/>
        <v>95</v>
      </c>
      <c r="B620" t="s">
        <v>1772</v>
      </c>
      <c r="C620" t="s">
        <v>1773</v>
      </c>
      <c r="D620" t="s">
        <v>194</v>
      </c>
      <c r="E620" t="s">
        <v>543</v>
      </c>
      <c r="F620" t="s">
        <v>626</v>
      </c>
      <c r="G620" t="s">
        <v>627</v>
      </c>
      <c r="H620" t="s">
        <v>628</v>
      </c>
      <c r="I620" t="s">
        <v>209</v>
      </c>
      <c r="J620" t="s">
        <v>176</v>
      </c>
      <c r="K620" s="30">
        <v>43060</v>
      </c>
      <c r="L620" s="8">
        <v>43059.228263888886</v>
      </c>
      <c r="M620" s="21">
        <f>LEN(ProjTextTable[[#This Row],[text]])</f>
        <v>1799</v>
      </c>
      <c r="N620" s="21">
        <f>LEN(TRIM(CLEAN(SUBSTITUTE(ProjTextTable[[#This Row],[text]],CHAR(10)," "))))+1 - LEN(SUBSTITUTE(CLEAN(SUBSTITUTE(ProjTextTable[[#This Row],[text]],CHAR(10)," "))," ",""))</f>
        <v>263</v>
      </c>
      <c r="O620" t="s">
        <v>195</v>
      </c>
      <c r="P620" t="s">
        <v>1776</v>
      </c>
    </row>
    <row r="621" spans="1:16">
      <c r="A621">
        <f t="shared" si="9"/>
        <v>95</v>
      </c>
      <c r="B621" t="s">
        <v>1772</v>
      </c>
      <c r="C621" t="s">
        <v>1773</v>
      </c>
      <c r="D621" t="s">
        <v>194</v>
      </c>
      <c r="E621" t="s">
        <v>543</v>
      </c>
      <c r="F621" t="s">
        <v>630</v>
      </c>
      <c r="G621" t="s">
        <v>631</v>
      </c>
      <c r="H621" t="s">
        <v>632</v>
      </c>
      <c r="I621" t="s">
        <v>209</v>
      </c>
      <c r="J621" t="s">
        <v>176</v>
      </c>
      <c r="K621" s="30">
        <v>43060</v>
      </c>
      <c r="L621" s="8">
        <v>43054.567141203705</v>
      </c>
      <c r="M621" s="21">
        <f>LEN(ProjTextTable[[#This Row],[text]])</f>
        <v>2252</v>
      </c>
      <c r="N621" s="21">
        <f>LEN(TRIM(CLEAN(SUBSTITUTE(ProjTextTable[[#This Row],[text]],CHAR(10)," "))))+1 - LEN(SUBSTITUTE(CLEAN(SUBSTITUTE(ProjTextTable[[#This Row],[text]],CHAR(10)," "))," ",""))</f>
        <v>338</v>
      </c>
      <c r="O621" t="s">
        <v>203</v>
      </c>
      <c r="P621" t="s">
        <v>1777</v>
      </c>
    </row>
    <row r="622" spans="1:16">
      <c r="A622">
        <f t="shared" si="9"/>
        <v>95</v>
      </c>
      <c r="B622" t="s">
        <v>1772</v>
      </c>
      <c r="C622" t="s">
        <v>1773</v>
      </c>
      <c r="D622" t="s">
        <v>194</v>
      </c>
      <c r="E622" t="s">
        <v>543</v>
      </c>
      <c r="F622" t="s">
        <v>1733</v>
      </c>
      <c r="G622" t="s">
        <v>1734</v>
      </c>
      <c r="H622" t="s">
        <v>1735</v>
      </c>
      <c r="I622" t="s">
        <v>209</v>
      </c>
      <c r="J622" t="s">
        <v>176</v>
      </c>
      <c r="K622" s="30">
        <v>43060</v>
      </c>
      <c r="L622" s="8">
        <v>43054.537291666667</v>
      </c>
      <c r="M622" s="21">
        <f>LEN(ProjTextTable[[#This Row],[text]])</f>
        <v>2032</v>
      </c>
      <c r="N622" s="21">
        <f>LEN(TRIM(CLEAN(SUBSTITUTE(ProjTextTable[[#This Row],[text]],CHAR(10)," "))))+1 - LEN(SUBSTITUTE(CLEAN(SUBSTITUTE(ProjTextTable[[#This Row],[text]],CHAR(10)," "))," ",""))</f>
        <v>307</v>
      </c>
      <c r="O622" t="s">
        <v>202</v>
      </c>
      <c r="P622" t="s">
        <v>1778</v>
      </c>
    </row>
    <row r="623" spans="1:16">
      <c r="A623">
        <f t="shared" si="9"/>
        <v>95</v>
      </c>
      <c r="B623" t="s">
        <v>1772</v>
      </c>
      <c r="C623" t="s">
        <v>1773</v>
      </c>
      <c r="D623" t="s">
        <v>196</v>
      </c>
      <c r="E623" t="s">
        <v>543</v>
      </c>
      <c r="F623" t="s">
        <v>13</v>
      </c>
      <c r="G623" t="s">
        <v>13</v>
      </c>
      <c r="H623" t="s">
        <v>13</v>
      </c>
      <c r="K623" s="30"/>
      <c r="L623" s="8">
        <v>42936.044953703706</v>
      </c>
      <c r="M623" s="21">
        <f>LEN(ProjTextTable[[#This Row],[text]])</f>
        <v>3405</v>
      </c>
      <c r="N623" s="21">
        <f>LEN(TRIM(CLEAN(SUBSTITUTE(ProjTextTable[[#This Row],[text]],CHAR(10)," "))))+1 - LEN(SUBSTITUTE(CLEAN(SUBSTITUTE(ProjTextTable[[#This Row],[text]],CHAR(10)," "))," ",""))</f>
        <v>481</v>
      </c>
      <c r="O623" t="s">
        <v>13</v>
      </c>
      <c r="P623" t="s">
        <v>1779</v>
      </c>
    </row>
    <row r="624" spans="1:16">
      <c r="A624">
        <f t="shared" si="9"/>
        <v>96</v>
      </c>
      <c r="B624" t="s">
        <v>1780</v>
      </c>
      <c r="C624" t="s">
        <v>1781</v>
      </c>
      <c r="D624" t="s">
        <v>205</v>
      </c>
      <c r="E624" t="s">
        <v>543</v>
      </c>
      <c r="F624" t="s">
        <v>619</v>
      </c>
      <c r="G624" t="s">
        <v>620</v>
      </c>
      <c r="H624" t="s">
        <v>249</v>
      </c>
      <c r="I624" t="s">
        <v>193</v>
      </c>
      <c r="J624" t="s">
        <v>922</v>
      </c>
      <c r="K624" s="30">
        <v>43059</v>
      </c>
      <c r="L624" s="8"/>
      <c r="M624" s="21">
        <f>LEN(ProjTextTable[[#This Row],[text]])</f>
        <v>3123</v>
      </c>
      <c r="N624" s="21">
        <f>LEN(TRIM(CLEAN(SUBSTITUTE(ProjTextTable[[#This Row],[text]],CHAR(10)," "))))+1 - LEN(SUBSTITUTE(CLEAN(SUBSTITUTE(ProjTextTable[[#This Row],[text]],CHAR(10)," "))," ",""))</f>
        <v>476</v>
      </c>
      <c r="O624" t="s">
        <v>248</v>
      </c>
      <c r="P624" t="s">
        <v>1782</v>
      </c>
    </row>
    <row r="625" spans="1:16">
      <c r="A625">
        <f t="shared" si="9"/>
        <v>96</v>
      </c>
      <c r="B625" t="s">
        <v>1780</v>
      </c>
      <c r="C625" t="s">
        <v>1781</v>
      </c>
      <c r="D625" t="s">
        <v>194</v>
      </c>
      <c r="E625" t="s">
        <v>543</v>
      </c>
      <c r="F625" t="s">
        <v>1579</v>
      </c>
      <c r="G625" t="s">
        <v>1580</v>
      </c>
      <c r="H625" t="s">
        <v>1581</v>
      </c>
      <c r="I625" t="s">
        <v>209</v>
      </c>
      <c r="J625" t="s">
        <v>176</v>
      </c>
      <c r="K625" s="30">
        <v>43060</v>
      </c>
      <c r="L625" s="8">
        <v>43056.606111111112</v>
      </c>
      <c r="M625" s="21">
        <f>LEN(ProjTextTable[[#This Row],[text]])</f>
        <v>3227</v>
      </c>
      <c r="N625" s="21">
        <f>LEN(TRIM(CLEAN(SUBSTITUTE(ProjTextTable[[#This Row],[text]],CHAR(10)," "))))+1 - LEN(SUBSTITUTE(CLEAN(SUBSTITUTE(ProjTextTable[[#This Row],[text]],CHAR(10)," "))," ",""))</f>
        <v>500</v>
      </c>
      <c r="O625" t="s">
        <v>199</v>
      </c>
      <c r="P625" t="s">
        <v>1783</v>
      </c>
    </row>
    <row r="626" spans="1:16">
      <c r="A626">
        <f t="shared" si="9"/>
        <v>96</v>
      </c>
      <c r="B626" t="s">
        <v>1780</v>
      </c>
      <c r="C626" t="s">
        <v>1781</v>
      </c>
      <c r="D626" t="s">
        <v>194</v>
      </c>
      <c r="E626" t="s">
        <v>543</v>
      </c>
      <c r="F626" t="s">
        <v>626</v>
      </c>
      <c r="G626" t="s">
        <v>627</v>
      </c>
      <c r="H626" t="s">
        <v>628</v>
      </c>
      <c r="I626" t="s">
        <v>209</v>
      </c>
      <c r="J626" t="s">
        <v>176</v>
      </c>
      <c r="K626" s="30">
        <v>43060</v>
      </c>
      <c r="L626" s="8">
        <v>43059.229328703703</v>
      </c>
      <c r="M626" s="21">
        <f>LEN(ProjTextTable[[#This Row],[text]])</f>
        <v>1790</v>
      </c>
      <c r="N626" s="21">
        <f>LEN(TRIM(CLEAN(SUBSTITUTE(ProjTextTable[[#This Row],[text]],CHAR(10)," "))))+1 - LEN(SUBSTITUTE(CLEAN(SUBSTITUTE(ProjTextTable[[#This Row],[text]],CHAR(10)," "))," ",""))</f>
        <v>263</v>
      </c>
      <c r="O626" t="s">
        <v>195</v>
      </c>
      <c r="P626" t="s">
        <v>1784</v>
      </c>
    </row>
    <row r="627" spans="1:16">
      <c r="A627">
        <f t="shared" si="9"/>
        <v>96</v>
      </c>
      <c r="B627" t="s">
        <v>1780</v>
      </c>
      <c r="C627" t="s">
        <v>1781</v>
      </c>
      <c r="D627" t="s">
        <v>194</v>
      </c>
      <c r="E627" t="s">
        <v>543</v>
      </c>
      <c r="F627" t="s">
        <v>634</v>
      </c>
      <c r="G627" t="s">
        <v>635</v>
      </c>
      <c r="H627" t="s">
        <v>636</v>
      </c>
      <c r="I627" t="s">
        <v>209</v>
      </c>
      <c r="J627" t="s">
        <v>176</v>
      </c>
      <c r="K627" s="30">
        <v>43060</v>
      </c>
      <c r="L627" s="8">
        <v>43056.70511574074</v>
      </c>
      <c r="M627" s="21">
        <f>LEN(ProjTextTable[[#This Row],[text]])</f>
        <v>4984</v>
      </c>
      <c r="N627" s="21">
        <f>LEN(TRIM(CLEAN(SUBSTITUTE(ProjTextTable[[#This Row],[text]],CHAR(10)," "))))+1 - LEN(SUBSTITUTE(CLEAN(SUBSTITUTE(ProjTextTable[[#This Row],[text]],CHAR(10)," "))," ",""))</f>
        <v>780</v>
      </c>
      <c r="O627" t="s">
        <v>199</v>
      </c>
      <c r="P627" t="s">
        <v>1785</v>
      </c>
    </row>
    <row r="628" spans="1:16">
      <c r="A628">
        <f t="shared" si="9"/>
        <v>96</v>
      </c>
      <c r="B628" t="s">
        <v>1780</v>
      </c>
      <c r="C628" t="s">
        <v>1781</v>
      </c>
      <c r="D628" t="s">
        <v>194</v>
      </c>
      <c r="E628" t="s">
        <v>543</v>
      </c>
      <c r="F628" t="s">
        <v>1660</v>
      </c>
      <c r="G628" t="s">
        <v>1661</v>
      </c>
      <c r="H628" t="s">
        <v>1662</v>
      </c>
      <c r="I628" t="s">
        <v>209</v>
      </c>
      <c r="J628" t="s">
        <v>176</v>
      </c>
      <c r="K628" s="30">
        <v>43060</v>
      </c>
      <c r="L628" s="8">
        <v>43058.695891203701</v>
      </c>
      <c r="M628" s="21">
        <f>LEN(ProjTextTable[[#This Row],[text]])</f>
        <v>5217</v>
      </c>
      <c r="N628" s="21">
        <f>LEN(TRIM(CLEAN(SUBSTITUTE(ProjTextTable[[#This Row],[text]],CHAR(10)," "))))+1 - LEN(SUBSTITUTE(CLEAN(SUBSTITUTE(ProjTextTable[[#This Row],[text]],CHAR(10)," "))," ",""))</f>
        <v>834</v>
      </c>
      <c r="O628" t="s">
        <v>199</v>
      </c>
      <c r="P628" t="s">
        <v>1786</v>
      </c>
    </row>
    <row r="629" spans="1:16">
      <c r="A629">
        <f t="shared" si="9"/>
        <v>96</v>
      </c>
      <c r="B629" t="s">
        <v>1780</v>
      </c>
      <c r="C629" t="s">
        <v>1781</v>
      </c>
      <c r="D629" t="s">
        <v>196</v>
      </c>
      <c r="E629" t="s">
        <v>543</v>
      </c>
      <c r="F629" t="s">
        <v>13</v>
      </c>
      <c r="G629" t="s">
        <v>13</v>
      </c>
      <c r="H629" t="s">
        <v>13</v>
      </c>
      <c r="K629" s="30"/>
      <c r="L629" s="8">
        <v>42936.045023148145</v>
      </c>
      <c r="M629" s="21">
        <f>LEN(ProjTextTable[[#This Row],[text]])</f>
        <v>3999</v>
      </c>
      <c r="N629" s="21">
        <f>LEN(TRIM(CLEAN(SUBSTITUTE(ProjTextTable[[#This Row],[text]],CHAR(10)," "))))+1 - LEN(SUBSTITUTE(CLEAN(SUBSTITUTE(ProjTextTable[[#This Row],[text]],CHAR(10)," "))," ",""))</f>
        <v>590</v>
      </c>
      <c r="O629" t="s">
        <v>13</v>
      </c>
      <c r="P629" t="s">
        <v>1787</v>
      </c>
    </row>
    <row r="630" spans="1:16">
      <c r="A630">
        <f t="shared" si="9"/>
        <v>97</v>
      </c>
      <c r="B630" t="s">
        <v>686</v>
      </c>
      <c r="C630" t="s">
        <v>687</v>
      </c>
      <c r="D630" t="s">
        <v>205</v>
      </c>
      <c r="E630" t="s">
        <v>543</v>
      </c>
      <c r="F630" t="s">
        <v>544</v>
      </c>
      <c r="G630" t="s">
        <v>545</v>
      </c>
      <c r="H630" t="s">
        <v>207</v>
      </c>
      <c r="I630" t="s">
        <v>197</v>
      </c>
      <c r="J630" t="s">
        <v>688</v>
      </c>
      <c r="K630" s="30">
        <v>43031</v>
      </c>
      <c r="L630" s="8"/>
      <c r="M630" s="21">
        <f>LEN(ProjTextTable[[#This Row],[text]])</f>
        <v>2478</v>
      </c>
      <c r="N630" s="21">
        <f>LEN(TRIM(CLEAN(SUBSTITUTE(ProjTextTable[[#This Row],[text]],CHAR(10)," "))))+1 - LEN(SUBSTITUTE(CLEAN(SUBSTITUTE(ProjTextTable[[#This Row],[text]],CHAR(10)," "))," ",""))</f>
        <v>352</v>
      </c>
      <c r="O630" t="s">
        <v>208</v>
      </c>
      <c r="P630" t="s">
        <v>689</v>
      </c>
    </row>
    <row r="631" spans="1:16">
      <c r="A631">
        <f t="shared" si="9"/>
        <v>97</v>
      </c>
      <c r="B631" t="s">
        <v>686</v>
      </c>
      <c r="C631" t="s">
        <v>687</v>
      </c>
      <c r="D631" t="s">
        <v>194</v>
      </c>
      <c r="E631" t="s">
        <v>543</v>
      </c>
      <c r="F631" t="s">
        <v>568</v>
      </c>
      <c r="G631" t="s">
        <v>569</v>
      </c>
      <c r="H631" t="s">
        <v>570</v>
      </c>
      <c r="I631" t="s">
        <v>209</v>
      </c>
      <c r="J631" t="s">
        <v>176</v>
      </c>
      <c r="K631" s="30">
        <v>43032</v>
      </c>
      <c r="L631" s="8">
        <v>43031.392627314817</v>
      </c>
      <c r="M631" s="21">
        <f>LEN(ProjTextTable[[#This Row],[text]])</f>
        <v>2470</v>
      </c>
      <c r="N631" s="21">
        <f>LEN(TRIM(CLEAN(SUBSTITUTE(ProjTextTable[[#This Row],[text]],CHAR(10)," "))))+1 - LEN(SUBSTITUTE(CLEAN(SUBSTITUTE(ProjTextTable[[#This Row],[text]],CHAR(10)," "))," ",""))</f>
        <v>379</v>
      </c>
      <c r="O631" t="s">
        <v>199</v>
      </c>
      <c r="P631" t="s">
        <v>690</v>
      </c>
    </row>
    <row r="632" spans="1:16">
      <c r="A632">
        <f t="shared" si="9"/>
        <v>97</v>
      </c>
      <c r="B632" t="s">
        <v>686</v>
      </c>
      <c r="C632" t="s">
        <v>687</v>
      </c>
      <c r="D632" t="s">
        <v>194</v>
      </c>
      <c r="E632" t="s">
        <v>543</v>
      </c>
      <c r="F632" t="s">
        <v>576</v>
      </c>
      <c r="G632" t="s">
        <v>577</v>
      </c>
      <c r="H632" t="s">
        <v>578</v>
      </c>
      <c r="I632" t="s">
        <v>209</v>
      </c>
      <c r="J632" t="s">
        <v>176</v>
      </c>
      <c r="K632" s="30">
        <v>43032</v>
      </c>
      <c r="L632" s="8">
        <v>43028.861886574072</v>
      </c>
      <c r="M632" s="21">
        <f>LEN(ProjTextTable[[#This Row],[text]])</f>
        <v>1850</v>
      </c>
      <c r="N632" s="21">
        <f>LEN(TRIM(CLEAN(SUBSTITUTE(ProjTextTable[[#This Row],[text]],CHAR(10)," "))))+1 - LEN(SUBSTITUTE(CLEAN(SUBSTITUTE(ProjTextTable[[#This Row],[text]],CHAR(10)," "))," ",""))</f>
        <v>275</v>
      </c>
      <c r="O632" t="s">
        <v>195</v>
      </c>
      <c r="P632" t="s">
        <v>691</v>
      </c>
    </row>
    <row r="633" spans="1:16">
      <c r="A633">
        <f t="shared" si="9"/>
        <v>97</v>
      </c>
      <c r="B633" t="s">
        <v>686</v>
      </c>
      <c r="C633" t="s">
        <v>687</v>
      </c>
      <c r="D633" t="s">
        <v>194</v>
      </c>
      <c r="E633" t="s">
        <v>543</v>
      </c>
      <c r="F633" t="s">
        <v>556</v>
      </c>
      <c r="G633" t="s">
        <v>557</v>
      </c>
      <c r="H633" t="s">
        <v>558</v>
      </c>
      <c r="I633" t="s">
        <v>209</v>
      </c>
      <c r="J633" t="s">
        <v>176</v>
      </c>
      <c r="K633" s="30">
        <v>43032</v>
      </c>
      <c r="L633" s="8">
        <v>43030.850983796299</v>
      </c>
      <c r="M633" s="21">
        <f>LEN(ProjTextTable[[#This Row],[text]])</f>
        <v>2602</v>
      </c>
      <c r="N633" s="21">
        <f>LEN(TRIM(CLEAN(SUBSTITUTE(ProjTextTable[[#This Row],[text]],CHAR(10)," "))))+1 - LEN(SUBSTITUTE(CLEAN(SUBSTITUTE(ProjTextTable[[#This Row],[text]],CHAR(10)," "))," ",""))</f>
        <v>415</v>
      </c>
      <c r="O633" t="s">
        <v>199</v>
      </c>
      <c r="P633" t="s">
        <v>692</v>
      </c>
    </row>
    <row r="634" spans="1:16">
      <c r="A634">
        <f t="shared" si="9"/>
        <v>97</v>
      </c>
      <c r="B634" t="s">
        <v>686</v>
      </c>
      <c r="C634" t="s">
        <v>687</v>
      </c>
      <c r="D634" t="s">
        <v>194</v>
      </c>
      <c r="E634" t="s">
        <v>540</v>
      </c>
      <c r="F634" t="s">
        <v>560</v>
      </c>
      <c r="G634" t="s">
        <v>561</v>
      </c>
      <c r="H634" t="s">
        <v>562</v>
      </c>
      <c r="I634" t="s">
        <v>209</v>
      </c>
      <c r="J634" t="s">
        <v>176</v>
      </c>
      <c r="K634" s="30">
        <v>43032</v>
      </c>
      <c r="L634" s="8">
        <v>43025.587372685186</v>
      </c>
      <c r="M634" s="21">
        <f>LEN(ProjTextTable[[#This Row],[text]])</f>
        <v>2719</v>
      </c>
      <c r="N634" s="21">
        <f>LEN(TRIM(CLEAN(SUBSTITUTE(ProjTextTable[[#This Row],[text]],CHAR(10)," "))))+1 - LEN(SUBSTITUTE(CLEAN(SUBSTITUTE(ProjTextTable[[#This Row],[text]],CHAR(10)," "))," ",""))</f>
        <v>400</v>
      </c>
      <c r="O634" t="s">
        <v>199</v>
      </c>
      <c r="P634" t="s">
        <v>693</v>
      </c>
    </row>
    <row r="635" spans="1:16">
      <c r="A635">
        <f t="shared" si="9"/>
        <v>97</v>
      </c>
      <c r="B635" t="s">
        <v>686</v>
      </c>
      <c r="C635" t="s">
        <v>687</v>
      </c>
      <c r="D635" t="s">
        <v>196</v>
      </c>
      <c r="E635" t="s">
        <v>540</v>
      </c>
      <c r="F635" t="s">
        <v>13</v>
      </c>
      <c r="G635" t="s">
        <v>13</v>
      </c>
      <c r="H635" t="s">
        <v>13</v>
      </c>
      <c r="K635" s="30"/>
      <c r="L635" s="8">
        <v>42936.045092592591</v>
      </c>
      <c r="M635" s="21">
        <f>LEN(ProjTextTable[[#This Row],[text]])</f>
        <v>3926</v>
      </c>
      <c r="N635" s="21">
        <f>LEN(TRIM(CLEAN(SUBSTITUTE(ProjTextTable[[#This Row],[text]],CHAR(10)," "))))+1 - LEN(SUBSTITUTE(CLEAN(SUBSTITUTE(ProjTextTable[[#This Row],[text]],CHAR(10)," "))," ",""))</f>
        <v>557</v>
      </c>
      <c r="O635" t="s">
        <v>13</v>
      </c>
      <c r="P635" t="s">
        <v>694</v>
      </c>
    </row>
    <row r="636" spans="1:16">
      <c r="A636">
        <f t="shared" si="9"/>
        <v>98</v>
      </c>
      <c r="B636" t="s">
        <v>695</v>
      </c>
      <c r="C636" t="s">
        <v>696</v>
      </c>
      <c r="D636" t="s">
        <v>205</v>
      </c>
      <c r="E636" t="s">
        <v>543</v>
      </c>
      <c r="F636" t="s">
        <v>544</v>
      </c>
      <c r="G636" t="s">
        <v>545</v>
      </c>
      <c r="H636" t="s">
        <v>207</v>
      </c>
      <c r="I636" t="s">
        <v>197</v>
      </c>
      <c r="J636" t="s">
        <v>396</v>
      </c>
      <c r="K636" s="30">
        <v>43031</v>
      </c>
      <c r="L636" s="8"/>
      <c r="M636" s="21">
        <f>LEN(ProjTextTable[[#This Row],[text]])</f>
        <v>2977</v>
      </c>
      <c r="N636" s="21">
        <f>LEN(TRIM(CLEAN(SUBSTITUTE(ProjTextTable[[#This Row],[text]],CHAR(10)," "))))+1 - LEN(SUBSTITUTE(CLEAN(SUBSTITUTE(ProjTextTable[[#This Row],[text]],CHAR(10)," "))," ",""))</f>
        <v>443</v>
      </c>
      <c r="O636" t="s">
        <v>208</v>
      </c>
      <c r="P636" t="s">
        <v>697</v>
      </c>
    </row>
    <row r="637" spans="1:16">
      <c r="A637">
        <f t="shared" si="9"/>
        <v>98</v>
      </c>
      <c r="B637" t="s">
        <v>695</v>
      </c>
      <c r="C637" t="s">
        <v>696</v>
      </c>
      <c r="D637" t="s">
        <v>194</v>
      </c>
      <c r="E637" t="s">
        <v>543</v>
      </c>
      <c r="F637" t="s">
        <v>568</v>
      </c>
      <c r="G637" t="s">
        <v>569</v>
      </c>
      <c r="H637" t="s">
        <v>570</v>
      </c>
      <c r="I637" t="s">
        <v>209</v>
      </c>
      <c r="J637" t="s">
        <v>176</v>
      </c>
      <c r="K637" s="30">
        <v>43032</v>
      </c>
      <c r="L637" s="8">
        <v>43025.598553240743</v>
      </c>
      <c r="M637" s="21">
        <f>LEN(ProjTextTable[[#This Row],[text]])</f>
        <v>2780</v>
      </c>
      <c r="N637" s="21">
        <f>LEN(TRIM(CLEAN(SUBSTITUTE(ProjTextTable[[#This Row],[text]],CHAR(10)," "))))+1 - LEN(SUBSTITUTE(CLEAN(SUBSTITUTE(ProjTextTable[[#This Row],[text]],CHAR(10)," "))," ",""))</f>
        <v>439</v>
      </c>
      <c r="O637" t="s">
        <v>199</v>
      </c>
      <c r="P637" t="s">
        <v>698</v>
      </c>
    </row>
    <row r="638" spans="1:16">
      <c r="A638">
        <f t="shared" si="9"/>
        <v>98</v>
      </c>
      <c r="B638" t="s">
        <v>695</v>
      </c>
      <c r="C638" t="s">
        <v>696</v>
      </c>
      <c r="D638" t="s">
        <v>194</v>
      </c>
      <c r="E638" t="s">
        <v>540</v>
      </c>
      <c r="F638" t="s">
        <v>572</v>
      </c>
      <c r="G638" t="s">
        <v>573</v>
      </c>
      <c r="H638" t="s">
        <v>574</v>
      </c>
      <c r="I638" t="s">
        <v>209</v>
      </c>
      <c r="J638" t="s">
        <v>176</v>
      </c>
      <c r="K638" s="30">
        <v>43032</v>
      </c>
      <c r="L638" s="8">
        <v>43030.184629629628</v>
      </c>
      <c r="M638" s="21">
        <f>LEN(ProjTextTable[[#This Row],[text]])</f>
        <v>2052</v>
      </c>
      <c r="N638" s="21">
        <f>LEN(TRIM(CLEAN(SUBSTITUTE(ProjTextTable[[#This Row],[text]],CHAR(10)," "))))+1 - LEN(SUBSTITUTE(CLEAN(SUBSTITUTE(ProjTextTable[[#This Row],[text]],CHAR(10)," "))," ",""))</f>
        <v>300</v>
      </c>
      <c r="O638" t="s">
        <v>199</v>
      </c>
      <c r="P638" t="s">
        <v>699</v>
      </c>
    </row>
    <row r="639" spans="1:16">
      <c r="A639">
        <f t="shared" si="9"/>
        <v>98</v>
      </c>
      <c r="B639" t="s">
        <v>695</v>
      </c>
      <c r="C639" t="s">
        <v>696</v>
      </c>
      <c r="D639" t="s">
        <v>194</v>
      </c>
      <c r="E639" t="s">
        <v>543</v>
      </c>
      <c r="F639" t="s">
        <v>673</v>
      </c>
      <c r="G639" t="s">
        <v>674</v>
      </c>
      <c r="H639" t="s">
        <v>675</v>
      </c>
      <c r="I639" t="s">
        <v>209</v>
      </c>
      <c r="J639" t="s">
        <v>176</v>
      </c>
      <c r="K639" s="30">
        <v>43032</v>
      </c>
      <c r="L639" s="8">
        <v>43028.388240740744</v>
      </c>
      <c r="M639" s="21">
        <f>LEN(ProjTextTable[[#This Row],[text]])</f>
        <v>2314</v>
      </c>
      <c r="N639" s="21">
        <f>LEN(TRIM(CLEAN(SUBSTITUTE(ProjTextTable[[#This Row],[text]],CHAR(10)," "))))+1 - LEN(SUBSTITUTE(CLEAN(SUBSTITUTE(ProjTextTable[[#This Row],[text]],CHAR(10)," "))," ",""))</f>
        <v>355</v>
      </c>
      <c r="O639" t="s">
        <v>202</v>
      </c>
      <c r="P639" t="s">
        <v>700</v>
      </c>
    </row>
    <row r="640" spans="1:16">
      <c r="A640">
        <f t="shared" si="9"/>
        <v>98</v>
      </c>
      <c r="B640" t="s">
        <v>695</v>
      </c>
      <c r="C640" t="s">
        <v>696</v>
      </c>
      <c r="D640" t="s">
        <v>194</v>
      </c>
      <c r="E640" t="s">
        <v>543</v>
      </c>
      <c r="F640" t="s">
        <v>612</v>
      </c>
      <c r="G640" t="s">
        <v>613</v>
      </c>
      <c r="H640" t="s">
        <v>614</v>
      </c>
      <c r="I640" t="s">
        <v>209</v>
      </c>
      <c r="J640" t="s">
        <v>176</v>
      </c>
      <c r="K640" s="30">
        <v>43032</v>
      </c>
      <c r="L640" s="8">
        <v>43031.690868055557</v>
      </c>
      <c r="M640" s="21">
        <f>LEN(ProjTextTable[[#This Row],[text]])</f>
        <v>3778</v>
      </c>
      <c r="N640" s="21">
        <f>LEN(TRIM(CLEAN(SUBSTITUTE(ProjTextTable[[#This Row],[text]],CHAR(10)," "))))+1 - LEN(SUBSTITUTE(CLEAN(SUBSTITUTE(ProjTextTable[[#This Row],[text]],CHAR(10)," "))," ",""))</f>
        <v>593</v>
      </c>
      <c r="O640" t="s">
        <v>199</v>
      </c>
      <c r="P640" t="s">
        <v>701</v>
      </c>
    </row>
    <row r="641" spans="1:16">
      <c r="A641">
        <f t="shared" si="9"/>
        <v>98</v>
      </c>
      <c r="B641" t="s">
        <v>695</v>
      </c>
      <c r="C641" t="s">
        <v>696</v>
      </c>
      <c r="D641" t="s">
        <v>196</v>
      </c>
      <c r="E641" t="s">
        <v>540</v>
      </c>
      <c r="F641" t="s">
        <v>13</v>
      </c>
      <c r="G641" t="s">
        <v>13</v>
      </c>
      <c r="H641" t="s">
        <v>13</v>
      </c>
      <c r="K641" s="30"/>
      <c r="L641" s="8">
        <v>42936.045185185183</v>
      </c>
      <c r="M641" s="21">
        <f>LEN(ProjTextTable[[#This Row],[text]])</f>
        <v>2855</v>
      </c>
      <c r="N641" s="21">
        <f>LEN(TRIM(CLEAN(SUBSTITUTE(ProjTextTable[[#This Row],[text]],CHAR(10)," "))))+1 - LEN(SUBSTITUTE(CLEAN(SUBSTITUTE(ProjTextTable[[#This Row],[text]],CHAR(10)," "))," ",""))</f>
        <v>407</v>
      </c>
      <c r="O641" t="s">
        <v>13</v>
      </c>
      <c r="P641" t="s">
        <v>702</v>
      </c>
    </row>
    <row r="642" spans="1:16">
      <c r="A642">
        <f t="shared" ref="A642:A705" si="10">A641+(B642&lt;&gt;B641)</f>
        <v>99</v>
      </c>
      <c r="B642" t="s">
        <v>1788</v>
      </c>
      <c r="C642" t="s">
        <v>1789</v>
      </c>
      <c r="D642" t="s">
        <v>205</v>
      </c>
      <c r="E642" t="s">
        <v>543</v>
      </c>
      <c r="F642" t="s">
        <v>619</v>
      </c>
      <c r="G642" t="s">
        <v>620</v>
      </c>
      <c r="H642" t="s">
        <v>207</v>
      </c>
      <c r="I642" t="s">
        <v>197</v>
      </c>
      <c r="J642" t="s">
        <v>396</v>
      </c>
      <c r="K642" s="30">
        <v>43059</v>
      </c>
      <c r="L642" s="8"/>
      <c r="M642" s="21">
        <f>LEN(ProjTextTable[[#This Row],[text]])</f>
        <v>4888</v>
      </c>
      <c r="N642" s="21">
        <f>LEN(TRIM(CLEAN(SUBSTITUTE(ProjTextTable[[#This Row],[text]],CHAR(10)," "))))+1 - LEN(SUBSTITUTE(CLEAN(SUBSTITUTE(ProjTextTable[[#This Row],[text]],CHAR(10)," "))," ",""))</f>
        <v>721</v>
      </c>
      <c r="O642" t="s">
        <v>208</v>
      </c>
      <c r="P642" t="s">
        <v>1790</v>
      </c>
    </row>
    <row r="643" spans="1:16">
      <c r="A643">
        <f t="shared" si="10"/>
        <v>99</v>
      </c>
      <c r="B643" t="s">
        <v>1788</v>
      </c>
      <c r="C643" t="s">
        <v>1789</v>
      </c>
      <c r="D643" t="s">
        <v>194</v>
      </c>
      <c r="E643" t="s">
        <v>543</v>
      </c>
      <c r="F643" t="s">
        <v>626</v>
      </c>
      <c r="G643" t="s">
        <v>627</v>
      </c>
      <c r="H643" t="s">
        <v>628</v>
      </c>
      <c r="I643" t="s">
        <v>209</v>
      </c>
      <c r="J643" t="s">
        <v>176</v>
      </c>
      <c r="K643" s="30">
        <v>43060</v>
      </c>
      <c r="L643" s="8">
        <v>43059.230451388888</v>
      </c>
      <c r="M643" s="21">
        <f>LEN(ProjTextTable[[#This Row],[text]])</f>
        <v>1637</v>
      </c>
      <c r="N643" s="21">
        <f>LEN(TRIM(CLEAN(SUBSTITUTE(ProjTextTable[[#This Row],[text]],CHAR(10)," "))))+1 - LEN(SUBSTITUTE(CLEAN(SUBSTITUTE(ProjTextTable[[#This Row],[text]],CHAR(10)," "))," ",""))</f>
        <v>239</v>
      </c>
      <c r="O643" t="s">
        <v>203</v>
      </c>
      <c r="P643" t="s">
        <v>1791</v>
      </c>
    </row>
    <row r="644" spans="1:16">
      <c r="A644">
        <f t="shared" si="10"/>
        <v>99</v>
      </c>
      <c r="B644" t="s">
        <v>1788</v>
      </c>
      <c r="C644" t="s">
        <v>1789</v>
      </c>
      <c r="D644" t="s">
        <v>194</v>
      </c>
      <c r="E644" t="s">
        <v>1530</v>
      </c>
      <c r="F644" t="s">
        <v>1733</v>
      </c>
      <c r="G644" t="s">
        <v>1734</v>
      </c>
      <c r="H644" t="s">
        <v>1735</v>
      </c>
      <c r="I644" t="s">
        <v>209</v>
      </c>
      <c r="J644" t="s">
        <v>176</v>
      </c>
      <c r="K644" s="30">
        <v>43060</v>
      </c>
      <c r="L644" s="8">
        <v>43054.528622685182</v>
      </c>
      <c r="M644" s="21">
        <f>LEN(ProjTextTable[[#This Row],[text]])</f>
        <v>2260</v>
      </c>
      <c r="N644" s="21">
        <f>LEN(TRIM(CLEAN(SUBSTITUTE(ProjTextTable[[#This Row],[text]],CHAR(10)," "))))+1 - LEN(SUBSTITUTE(CLEAN(SUBSTITUTE(ProjTextTable[[#This Row],[text]],CHAR(10)," "))," ",""))</f>
        <v>328</v>
      </c>
      <c r="O644" t="s">
        <v>195</v>
      </c>
      <c r="P644" t="s">
        <v>1792</v>
      </c>
    </row>
    <row r="645" spans="1:16">
      <c r="A645">
        <f t="shared" si="10"/>
        <v>99</v>
      </c>
      <c r="B645" t="s">
        <v>1788</v>
      </c>
      <c r="C645" t="s">
        <v>1789</v>
      </c>
      <c r="D645" t="s">
        <v>194</v>
      </c>
      <c r="E645" t="s">
        <v>543</v>
      </c>
      <c r="F645" t="s">
        <v>1507</v>
      </c>
      <c r="G645" t="s">
        <v>1508</v>
      </c>
      <c r="H645" t="s">
        <v>1509</v>
      </c>
      <c r="I645" t="s">
        <v>209</v>
      </c>
      <c r="J645" t="s">
        <v>176</v>
      </c>
      <c r="K645" s="30">
        <v>43060</v>
      </c>
      <c r="L645" s="8">
        <v>43058.869027777779</v>
      </c>
      <c r="M645" s="21">
        <f>LEN(ProjTextTable[[#This Row],[text]])</f>
        <v>3271</v>
      </c>
      <c r="N645" s="21">
        <f>LEN(TRIM(CLEAN(SUBSTITUTE(ProjTextTable[[#This Row],[text]],CHAR(10)," "))))+1 - LEN(SUBSTITUTE(CLEAN(SUBSTITUTE(ProjTextTable[[#This Row],[text]],CHAR(10)," "))," ",""))</f>
        <v>467</v>
      </c>
      <c r="O645" t="s">
        <v>251</v>
      </c>
      <c r="P645" t="s">
        <v>1793</v>
      </c>
    </row>
    <row r="646" spans="1:16">
      <c r="A646">
        <f t="shared" si="10"/>
        <v>99</v>
      </c>
      <c r="B646" t="s">
        <v>1788</v>
      </c>
      <c r="C646" t="s">
        <v>1789</v>
      </c>
      <c r="D646" t="s">
        <v>194</v>
      </c>
      <c r="E646" t="s">
        <v>543</v>
      </c>
      <c r="F646" t="s">
        <v>1565</v>
      </c>
      <c r="G646" t="s">
        <v>1566</v>
      </c>
      <c r="H646" t="s">
        <v>1567</v>
      </c>
      <c r="I646" t="s">
        <v>209</v>
      </c>
      <c r="J646" t="s">
        <v>176</v>
      </c>
      <c r="K646" s="30">
        <v>43060</v>
      </c>
      <c r="L646" s="8">
        <v>43059.013773148145</v>
      </c>
      <c r="M646" s="21">
        <f>LEN(ProjTextTable[[#This Row],[text]])</f>
        <v>1390</v>
      </c>
      <c r="N646" s="21">
        <f>LEN(TRIM(CLEAN(SUBSTITUTE(ProjTextTable[[#This Row],[text]],CHAR(10)," "))))+1 - LEN(SUBSTITUTE(CLEAN(SUBSTITUTE(ProjTextTable[[#This Row],[text]],CHAR(10)," "))," ",""))</f>
        <v>202</v>
      </c>
      <c r="O646" t="s">
        <v>195</v>
      </c>
      <c r="P646" t="s">
        <v>1794</v>
      </c>
    </row>
    <row r="647" spans="1:16">
      <c r="A647">
        <f t="shared" si="10"/>
        <v>99</v>
      </c>
      <c r="B647" t="s">
        <v>1788</v>
      </c>
      <c r="C647" t="s">
        <v>1789</v>
      </c>
      <c r="D647" t="s">
        <v>196</v>
      </c>
      <c r="E647" t="s">
        <v>1530</v>
      </c>
      <c r="F647" t="s">
        <v>13</v>
      </c>
      <c r="G647" t="s">
        <v>13</v>
      </c>
      <c r="H647" t="s">
        <v>13</v>
      </c>
      <c r="K647" s="30"/>
      <c r="L647" s="8">
        <v>42936.045300925929</v>
      </c>
      <c r="M647" s="21">
        <f>LEN(ProjTextTable[[#This Row],[text]])</f>
        <v>3037</v>
      </c>
      <c r="N647" s="21">
        <f>LEN(TRIM(CLEAN(SUBSTITUTE(ProjTextTable[[#This Row],[text]],CHAR(10)," "))))+1 - LEN(SUBSTITUTE(CLEAN(SUBSTITUTE(ProjTextTable[[#This Row],[text]],CHAR(10)," "))," ",""))</f>
        <v>442</v>
      </c>
      <c r="O647" t="s">
        <v>13</v>
      </c>
      <c r="P647" t="s">
        <v>1795</v>
      </c>
    </row>
    <row r="648" spans="1:16">
      <c r="A648">
        <f t="shared" si="10"/>
        <v>100</v>
      </c>
      <c r="B648" t="s">
        <v>1796</v>
      </c>
      <c r="C648" t="s">
        <v>1797</v>
      </c>
      <c r="D648" t="s">
        <v>205</v>
      </c>
      <c r="E648" t="s">
        <v>543</v>
      </c>
      <c r="F648" t="s">
        <v>619</v>
      </c>
      <c r="G648" t="s">
        <v>620</v>
      </c>
      <c r="H648" t="s">
        <v>249</v>
      </c>
      <c r="I648" t="s">
        <v>193</v>
      </c>
      <c r="J648" t="s">
        <v>922</v>
      </c>
      <c r="K648" s="30">
        <v>43059</v>
      </c>
      <c r="L648" s="8"/>
      <c r="M648" s="21">
        <f>LEN(ProjTextTable[[#This Row],[text]])</f>
        <v>2400</v>
      </c>
      <c r="N648" s="21">
        <f>LEN(TRIM(CLEAN(SUBSTITUTE(ProjTextTable[[#This Row],[text]],CHAR(10)," "))))+1 - LEN(SUBSTITUTE(CLEAN(SUBSTITUTE(ProjTextTable[[#This Row],[text]],CHAR(10)," "))," ",""))</f>
        <v>348</v>
      </c>
      <c r="O648" t="s">
        <v>248</v>
      </c>
      <c r="P648" t="s">
        <v>1798</v>
      </c>
    </row>
    <row r="649" spans="1:16">
      <c r="A649">
        <f t="shared" si="10"/>
        <v>100</v>
      </c>
      <c r="B649" t="s">
        <v>1796</v>
      </c>
      <c r="C649" t="s">
        <v>1797</v>
      </c>
      <c r="D649" t="s">
        <v>194</v>
      </c>
      <c r="E649" t="s">
        <v>543</v>
      </c>
      <c r="F649" t="s">
        <v>622</v>
      </c>
      <c r="G649" t="s">
        <v>623</v>
      </c>
      <c r="H649" t="s">
        <v>624</v>
      </c>
      <c r="I649" t="s">
        <v>209</v>
      </c>
      <c r="J649" t="s">
        <v>176</v>
      </c>
      <c r="K649" s="30">
        <v>43060</v>
      </c>
      <c r="L649" s="8">
        <v>43055.929837962962</v>
      </c>
      <c r="M649" s="21">
        <f>LEN(ProjTextTable[[#This Row],[text]])</f>
        <v>1881</v>
      </c>
      <c r="N649" s="21">
        <f>LEN(TRIM(CLEAN(SUBSTITUTE(ProjTextTable[[#This Row],[text]],CHAR(10)," "))))+1 - LEN(SUBSTITUTE(CLEAN(SUBSTITUTE(ProjTextTable[[#This Row],[text]],CHAR(10)," "))," ",""))</f>
        <v>271</v>
      </c>
      <c r="O649" t="s">
        <v>199</v>
      </c>
      <c r="P649" t="s">
        <v>1799</v>
      </c>
    </row>
    <row r="650" spans="1:16">
      <c r="A650">
        <f t="shared" si="10"/>
        <v>100</v>
      </c>
      <c r="B650" t="s">
        <v>1796</v>
      </c>
      <c r="C650" t="s">
        <v>1797</v>
      </c>
      <c r="D650" t="s">
        <v>194</v>
      </c>
      <c r="E650" t="s">
        <v>543</v>
      </c>
      <c r="F650" t="s">
        <v>1565</v>
      </c>
      <c r="G650" t="s">
        <v>1566</v>
      </c>
      <c r="H650" t="s">
        <v>1567</v>
      </c>
      <c r="I650" t="s">
        <v>209</v>
      </c>
      <c r="J650" t="s">
        <v>176</v>
      </c>
      <c r="K650" s="30">
        <v>43060</v>
      </c>
      <c r="L650" s="8">
        <v>43058.99627314815</v>
      </c>
      <c r="M650" s="21">
        <f>LEN(ProjTextTable[[#This Row],[text]])</f>
        <v>2482</v>
      </c>
      <c r="N650" s="21">
        <f>LEN(TRIM(CLEAN(SUBSTITUTE(ProjTextTable[[#This Row],[text]],CHAR(10)," "))))+1 - LEN(SUBSTITUTE(CLEAN(SUBSTITUTE(ProjTextTable[[#This Row],[text]],CHAR(10)," "))," ",""))</f>
        <v>372</v>
      </c>
      <c r="O650" t="s">
        <v>199</v>
      </c>
      <c r="P650" t="s">
        <v>1800</v>
      </c>
    </row>
    <row r="651" spans="1:16">
      <c r="A651">
        <f t="shared" si="10"/>
        <v>100</v>
      </c>
      <c r="B651" t="s">
        <v>1796</v>
      </c>
      <c r="C651" t="s">
        <v>1797</v>
      </c>
      <c r="D651" t="s">
        <v>194</v>
      </c>
      <c r="E651" t="s">
        <v>543</v>
      </c>
      <c r="F651" t="s">
        <v>1660</v>
      </c>
      <c r="G651" t="s">
        <v>1661</v>
      </c>
      <c r="H651" t="s">
        <v>1662</v>
      </c>
      <c r="I651" t="s">
        <v>209</v>
      </c>
      <c r="J651" t="s">
        <v>176</v>
      </c>
      <c r="K651" s="30">
        <v>43060</v>
      </c>
      <c r="L651" s="8">
        <v>43058.923993055556</v>
      </c>
      <c r="M651" s="21">
        <f>LEN(ProjTextTable[[#This Row],[text]])</f>
        <v>3470</v>
      </c>
      <c r="N651" s="21">
        <f>LEN(TRIM(CLEAN(SUBSTITUTE(ProjTextTable[[#This Row],[text]],CHAR(10)," "))))+1 - LEN(SUBSTITUTE(CLEAN(SUBSTITUTE(ProjTextTable[[#This Row],[text]],CHAR(10)," "))," ",""))</f>
        <v>527</v>
      </c>
      <c r="O651" t="s">
        <v>199</v>
      </c>
      <c r="P651" t="s">
        <v>1801</v>
      </c>
    </row>
    <row r="652" spans="1:16">
      <c r="A652">
        <f t="shared" si="10"/>
        <v>100</v>
      </c>
      <c r="B652" t="s">
        <v>1796</v>
      </c>
      <c r="C652" t="s">
        <v>1797</v>
      </c>
      <c r="D652" t="s">
        <v>194</v>
      </c>
      <c r="E652" t="s">
        <v>543</v>
      </c>
      <c r="F652" t="s">
        <v>1556</v>
      </c>
      <c r="G652" t="s">
        <v>1557</v>
      </c>
      <c r="H652" t="s">
        <v>1558</v>
      </c>
      <c r="I652" t="s">
        <v>209</v>
      </c>
      <c r="J652" t="s">
        <v>176</v>
      </c>
      <c r="K652" s="30">
        <v>43060</v>
      </c>
      <c r="L652" s="8">
        <v>43056.743946759256</v>
      </c>
      <c r="M652" s="21">
        <f>LEN(ProjTextTable[[#This Row],[text]])</f>
        <v>1413</v>
      </c>
      <c r="N652" s="21">
        <f>LEN(TRIM(CLEAN(SUBSTITUTE(ProjTextTable[[#This Row],[text]],CHAR(10)," "))))+1 - LEN(SUBSTITUTE(CLEAN(SUBSTITUTE(ProjTextTable[[#This Row],[text]],CHAR(10)," "))," ",""))</f>
        <v>211</v>
      </c>
      <c r="O652" t="s">
        <v>195</v>
      </c>
      <c r="P652" t="s">
        <v>1802</v>
      </c>
    </row>
    <row r="653" spans="1:16">
      <c r="A653">
        <f t="shared" si="10"/>
        <v>100</v>
      </c>
      <c r="B653" t="s">
        <v>1796</v>
      </c>
      <c r="C653" t="s">
        <v>1797</v>
      </c>
      <c r="D653" t="s">
        <v>196</v>
      </c>
      <c r="E653" t="s">
        <v>543</v>
      </c>
      <c r="F653" t="s">
        <v>13</v>
      </c>
      <c r="G653" t="s">
        <v>13</v>
      </c>
      <c r="H653" t="s">
        <v>13</v>
      </c>
      <c r="K653" s="30"/>
      <c r="L653" s="8">
        <v>42936.045428240737</v>
      </c>
      <c r="M653" s="21">
        <f>LEN(ProjTextTable[[#This Row],[text]])</f>
        <v>3199</v>
      </c>
      <c r="N653" s="21">
        <f>LEN(TRIM(CLEAN(SUBSTITUTE(ProjTextTable[[#This Row],[text]],CHAR(10)," "))))+1 - LEN(SUBSTITUTE(CLEAN(SUBSTITUTE(ProjTextTable[[#This Row],[text]],CHAR(10)," "))," ",""))</f>
        <v>448</v>
      </c>
      <c r="O653" t="s">
        <v>13</v>
      </c>
      <c r="P653" t="s">
        <v>1803</v>
      </c>
    </row>
    <row r="654" spans="1:16">
      <c r="A654">
        <f t="shared" si="10"/>
        <v>101</v>
      </c>
      <c r="B654" t="s">
        <v>1804</v>
      </c>
      <c r="C654" t="s">
        <v>1805</v>
      </c>
      <c r="D654" t="s">
        <v>205</v>
      </c>
      <c r="E654" t="s">
        <v>543</v>
      </c>
      <c r="F654" t="s">
        <v>544</v>
      </c>
      <c r="G654" t="s">
        <v>545</v>
      </c>
      <c r="H654" t="s">
        <v>207</v>
      </c>
      <c r="I654" t="s">
        <v>197</v>
      </c>
      <c r="J654" t="s">
        <v>1382</v>
      </c>
      <c r="K654" s="30">
        <v>43031</v>
      </c>
      <c r="L654" s="8"/>
      <c r="M654" s="21">
        <f>LEN(ProjTextTable[[#This Row],[text]])</f>
        <v>2460</v>
      </c>
      <c r="N654" s="21">
        <f>LEN(TRIM(CLEAN(SUBSTITUTE(ProjTextTable[[#This Row],[text]],CHAR(10)," "))))+1 - LEN(SUBSTITUTE(CLEAN(SUBSTITUTE(ProjTextTable[[#This Row],[text]],CHAR(10)," "))," ",""))</f>
        <v>343</v>
      </c>
      <c r="O654" t="s">
        <v>208</v>
      </c>
      <c r="P654" t="s">
        <v>1806</v>
      </c>
    </row>
    <row r="655" spans="1:16">
      <c r="A655">
        <f t="shared" si="10"/>
        <v>101</v>
      </c>
      <c r="B655" t="s">
        <v>1804</v>
      </c>
      <c r="C655" t="s">
        <v>1805</v>
      </c>
      <c r="D655" t="s">
        <v>194</v>
      </c>
      <c r="E655" t="s">
        <v>543</v>
      </c>
      <c r="F655" t="s">
        <v>568</v>
      </c>
      <c r="G655" t="s">
        <v>569</v>
      </c>
      <c r="H655" t="s">
        <v>570</v>
      </c>
      <c r="I655" t="s">
        <v>209</v>
      </c>
      <c r="J655" t="s">
        <v>176</v>
      </c>
      <c r="K655" s="30">
        <v>43032</v>
      </c>
      <c r="L655" s="8">
        <v>43031.434907407405</v>
      </c>
      <c r="M655" s="21">
        <f>LEN(ProjTextTable[[#This Row],[text]])</f>
        <v>3265</v>
      </c>
      <c r="N655" s="21">
        <f>LEN(TRIM(CLEAN(SUBSTITUTE(ProjTextTable[[#This Row],[text]],CHAR(10)," "))))+1 - LEN(SUBSTITUTE(CLEAN(SUBSTITUTE(ProjTextTable[[#This Row],[text]],CHAR(10)," "))," ",""))</f>
        <v>506</v>
      </c>
      <c r="O655" t="s">
        <v>199</v>
      </c>
      <c r="P655" t="s">
        <v>1807</v>
      </c>
    </row>
    <row r="656" spans="1:16">
      <c r="A656">
        <f t="shared" si="10"/>
        <v>101</v>
      </c>
      <c r="B656" t="s">
        <v>1804</v>
      </c>
      <c r="C656" t="s">
        <v>1805</v>
      </c>
      <c r="D656" t="s">
        <v>194</v>
      </c>
      <c r="E656" t="s">
        <v>543</v>
      </c>
      <c r="F656" t="s">
        <v>650</v>
      </c>
      <c r="G656" t="s">
        <v>651</v>
      </c>
      <c r="H656" t="s">
        <v>652</v>
      </c>
      <c r="I656" t="s">
        <v>209</v>
      </c>
      <c r="J656" t="s">
        <v>176</v>
      </c>
      <c r="K656" s="30">
        <v>43032</v>
      </c>
      <c r="L656" s="8">
        <v>43030.882361111115</v>
      </c>
      <c r="M656" s="21">
        <f>LEN(ProjTextTable[[#This Row],[text]])</f>
        <v>2182</v>
      </c>
      <c r="N656" s="21">
        <f>LEN(TRIM(CLEAN(SUBSTITUTE(ProjTextTable[[#This Row],[text]],CHAR(10)," "))))+1 - LEN(SUBSTITUTE(CLEAN(SUBSTITUTE(ProjTextTable[[#This Row],[text]],CHAR(10)," "))," ",""))</f>
        <v>333</v>
      </c>
      <c r="O656" t="s">
        <v>199</v>
      </c>
      <c r="P656" t="s">
        <v>1808</v>
      </c>
    </row>
    <row r="657" spans="1:16">
      <c r="A657">
        <f t="shared" si="10"/>
        <v>101</v>
      </c>
      <c r="B657" t="s">
        <v>1804</v>
      </c>
      <c r="C657" t="s">
        <v>1805</v>
      </c>
      <c r="D657" t="s">
        <v>194</v>
      </c>
      <c r="E657" t="s">
        <v>543</v>
      </c>
      <c r="F657" t="s">
        <v>572</v>
      </c>
      <c r="G657" t="s">
        <v>573</v>
      </c>
      <c r="H657" t="s">
        <v>574</v>
      </c>
      <c r="I657" t="s">
        <v>209</v>
      </c>
      <c r="J657" t="s">
        <v>176</v>
      </c>
      <c r="K657" s="30">
        <v>43032</v>
      </c>
      <c r="L657" s="8">
        <v>43030.173541666663</v>
      </c>
      <c r="M657" s="21">
        <f>LEN(ProjTextTable[[#This Row],[text]])</f>
        <v>1948</v>
      </c>
      <c r="N657" s="21">
        <f>LEN(TRIM(CLEAN(SUBSTITUTE(ProjTextTable[[#This Row],[text]],CHAR(10)," "))))+1 - LEN(SUBSTITUTE(CLEAN(SUBSTITUTE(ProjTextTable[[#This Row],[text]],CHAR(10)," "))," ",""))</f>
        <v>276</v>
      </c>
      <c r="O657" t="s">
        <v>195</v>
      </c>
      <c r="P657" t="s">
        <v>1809</v>
      </c>
    </row>
    <row r="658" spans="1:16">
      <c r="A658">
        <f t="shared" si="10"/>
        <v>101</v>
      </c>
      <c r="B658" t="s">
        <v>1804</v>
      </c>
      <c r="C658" t="s">
        <v>1805</v>
      </c>
      <c r="D658" t="s">
        <v>194</v>
      </c>
      <c r="E658" t="s">
        <v>543</v>
      </c>
      <c r="F658" t="s">
        <v>580</v>
      </c>
      <c r="G658" t="s">
        <v>581</v>
      </c>
      <c r="H658" t="s">
        <v>582</v>
      </c>
      <c r="I658" t="s">
        <v>209</v>
      </c>
      <c r="J658" t="s">
        <v>176</v>
      </c>
      <c r="K658" s="30">
        <v>43032</v>
      </c>
      <c r="L658" s="8">
        <v>43030.798495370371</v>
      </c>
      <c r="M658" s="21">
        <f>LEN(ProjTextTable[[#This Row],[text]])</f>
        <v>2495</v>
      </c>
      <c r="N658" s="21">
        <f>LEN(TRIM(CLEAN(SUBSTITUTE(ProjTextTable[[#This Row],[text]],CHAR(10)," "))))+1 - LEN(SUBSTITUTE(CLEAN(SUBSTITUTE(ProjTextTable[[#This Row],[text]],CHAR(10)," "))," ",""))</f>
        <v>381</v>
      </c>
      <c r="O658" t="s">
        <v>199</v>
      </c>
      <c r="P658" t="s">
        <v>1810</v>
      </c>
    </row>
    <row r="659" spans="1:16">
      <c r="A659">
        <f t="shared" si="10"/>
        <v>101</v>
      </c>
      <c r="B659" t="s">
        <v>1804</v>
      </c>
      <c r="C659" t="s">
        <v>1805</v>
      </c>
      <c r="D659" t="s">
        <v>196</v>
      </c>
      <c r="E659" t="s">
        <v>543</v>
      </c>
      <c r="F659" t="s">
        <v>13</v>
      </c>
      <c r="G659" t="s">
        <v>13</v>
      </c>
      <c r="H659" t="s">
        <v>13</v>
      </c>
      <c r="K659" s="30"/>
      <c r="L659" s="8">
        <v>42936.045486111114</v>
      </c>
      <c r="M659" s="21">
        <f>LEN(ProjTextTable[[#This Row],[text]])</f>
        <v>3779</v>
      </c>
      <c r="N659" s="21">
        <f>LEN(TRIM(CLEAN(SUBSTITUTE(ProjTextTable[[#This Row],[text]],CHAR(10)," "))))+1 - LEN(SUBSTITUTE(CLEAN(SUBSTITUTE(ProjTextTable[[#This Row],[text]],CHAR(10)," "))," ",""))</f>
        <v>548</v>
      </c>
      <c r="O659" t="s">
        <v>13</v>
      </c>
      <c r="P659" t="s">
        <v>1811</v>
      </c>
    </row>
    <row r="660" spans="1:16">
      <c r="A660">
        <f t="shared" si="10"/>
        <v>102</v>
      </c>
      <c r="B660" t="s">
        <v>1812</v>
      </c>
      <c r="C660" t="s">
        <v>1813</v>
      </c>
      <c r="D660" t="s">
        <v>205</v>
      </c>
      <c r="E660" t="s">
        <v>543</v>
      </c>
      <c r="F660" t="s">
        <v>544</v>
      </c>
      <c r="G660" t="s">
        <v>545</v>
      </c>
      <c r="H660" t="s">
        <v>249</v>
      </c>
      <c r="I660" t="s">
        <v>193</v>
      </c>
      <c r="J660" t="s">
        <v>566</v>
      </c>
      <c r="K660" s="30">
        <v>43031</v>
      </c>
      <c r="L660" s="8">
        <v>43075.705046296294</v>
      </c>
      <c r="M660" s="21">
        <f>LEN(ProjTextTable[[#This Row],[text]])</f>
        <v>2769</v>
      </c>
      <c r="N660" s="21">
        <f>LEN(TRIM(CLEAN(SUBSTITUTE(ProjTextTable[[#This Row],[text]],CHAR(10)," "))))+1 - LEN(SUBSTITUTE(CLEAN(SUBSTITUTE(ProjTextTable[[#This Row],[text]],CHAR(10)," "))," ",""))</f>
        <v>402</v>
      </c>
      <c r="O660" t="s">
        <v>248</v>
      </c>
      <c r="P660" t="s">
        <v>1814</v>
      </c>
    </row>
    <row r="661" spans="1:16">
      <c r="A661">
        <f t="shared" si="10"/>
        <v>102</v>
      </c>
      <c r="B661" t="s">
        <v>1812</v>
      </c>
      <c r="C661" t="s">
        <v>1813</v>
      </c>
      <c r="D661" t="s">
        <v>194</v>
      </c>
      <c r="E661" t="s">
        <v>543</v>
      </c>
      <c r="F661" t="s">
        <v>650</v>
      </c>
      <c r="G661" t="s">
        <v>651</v>
      </c>
      <c r="H661" t="s">
        <v>652</v>
      </c>
      <c r="I661" t="s">
        <v>209</v>
      </c>
      <c r="J661" t="s">
        <v>176</v>
      </c>
      <c r="K661" s="30">
        <v>43032</v>
      </c>
      <c r="L661" s="8">
        <v>43030.883020833331</v>
      </c>
      <c r="M661" s="21">
        <f>LEN(ProjTextTable[[#This Row],[text]])</f>
        <v>4197</v>
      </c>
      <c r="N661" s="21">
        <f>LEN(TRIM(CLEAN(SUBSTITUTE(ProjTextTable[[#This Row],[text]],CHAR(10)," "))))+1 - LEN(SUBSTITUTE(CLEAN(SUBSTITUTE(ProjTextTable[[#This Row],[text]],CHAR(10)," "))," ",""))</f>
        <v>668</v>
      </c>
      <c r="O661" t="s">
        <v>199</v>
      </c>
      <c r="P661" t="s">
        <v>1815</v>
      </c>
    </row>
    <row r="662" spans="1:16">
      <c r="A662">
        <f t="shared" si="10"/>
        <v>102</v>
      </c>
      <c r="B662" t="s">
        <v>1812</v>
      </c>
      <c r="C662" t="s">
        <v>1813</v>
      </c>
      <c r="D662" t="s">
        <v>194</v>
      </c>
      <c r="E662" t="s">
        <v>543</v>
      </c>
      <c r="F662" t="s">
        <v>572</v>
      </c>
      <c r="G662" t="s">
        <v>573</v>
      </c>
      <c r="H662" t="s">
        <v>574</v>
      </c>
      <c r="I662" t="s">
        <v>209</v>
      </c>
      <c r="J662" t="s">
        <v>176</v>
      </c>
      <c r="K662" s="30">
        <v>43032</v>
      </c>
      <c r="L662" s="8">
        <v>43030.171967592592</v>
      </c>
      <c r="M662" s="21">
        <f>LEN(ProjTextTable[[#This Row],[text]])</f>
        <v>1906</v>
      </c>
      <c r="N662" s="21">
        <f>LEN(TRIM(CLEAN(SUBSTITUTE(ProjTextTable[[#This Row],[text]],CHAR(10)," "))))+1 - LEN(SUBSTITUTE(CLEAN(SUBSTITUTE(ProjTextTable[[#This Row],[text]],CHAR(10)," "))," ",""))</f>
        <v>276</v>
      </c>
      <c r="O662" t="s">
        <v>195</v>
      </c>
      <c r="P662" t="s">
        <v>1816</v>
      </c>
    </row>
    <row r="663" spans="1:16">
      <c r="A663">
        <f t="shared" si="10"/>
        <v>102</v>
      </c>
      <c r="B663" t="s">
        <v>1812</v>
      </c>
      <c r="C663" t="s">
        <v>1813</v>
      </c>
      <c r="D663" t="s">
        <v>194</v>
      </c>
      <c r="E663" t="s">
        <v>543</v>
      </c>
      <c r="F663" t="s">
        <v>552</v>
      </c>
      <c r="G663" t="s">
        <v>553</v>
      </c>
      <c r="H663" t="s">
        <v>554</v>
      </c>
      <c r="I663" t="s">
        <v>209</v>
      </c>
      <c r="J663" t="s">
        <v>176</v>
      </c>
      <c r="K663" s="30">
        <v>43032</v>
      </c>
      <c r="L663" s="8">
        <v>43031.362187500003</v>
      </c>
      <c r="M663" s="21">
        <f>LEN(ProjTextTable[[#This Row],[text]])</f>
        <v>2284</v>
      </c>
      <c r="N663" s="21">
        <f>LEN(TRIM(CLEAN(SUBSTITUTE(ProjTextTable[[#This Row],[text]],CHAR(10)," "))))+1 - LEN(SUBSTITUTE(CLEAN(SUBSTITUTE(ProjTextTable[[#This Row],[text]],CHAR(10)," "))," ",""))</f>
        <v>353</v>
      </c>
      <c r="O663" t="s">
        <v>202</v>
      </c>
      <c r="P663" t="s">
        <v>1817</v>
      </c>
    </row>
    <row r="664" spans="1:16">
      <c r="A664">
        <f t="shared" si="10"/>
        <v>102</v>
      </c>
      <c r="B664" t="s">
        <v>1812</v>
      </c>
      <c r="C664" t="s">
        <v>1813</v>
      </c>
      <c r="D664" t="s">
        <v>194</v>
      </c>
      <c r="E664" t="s">
        <v>543</v>
      </c>
      <c r="F664" t="s">
        <v>673</v>
      </c>
      <c r="G664" t="s">
        <v>674</v>
      </c>
      <c r="H664" t="s">
        <v>675</v>
      </c>
      <c r="I664" t="s">
        <v>209</v>
      </c>
      <c r="J664" t="s">
        <v>176</v>
      </c>
      <c r="K664" s="30">
        <v>43032</v>
      </c>
      <c r="L664" s="8">
        <v>43031.703900462962</v>
      </c>
      <c r="M664" s="21">
        <f>LEN(ProjTextTable[[#This Row],[text]])</f>
        <v>2598</v>
      </c>
      <c r="N664" s="21">
        <f>LEN(TRIM(CLEAN(SUBSTITUTE(ProjTextTable[[#This Row],[text]],CHAR(10)," "))))+1 - LEN(SUBSTITUTE(CLEAN(SUBSTITUTE(ProjTextTable[[#This Row],[text]],CHAR(10)," "))," ",""))</f>
        <v>394</v>
      </c>
      <c r="O664" t="s">
        <v>203</v>
      </c>
      <c r="P664" t="s">
        <v>1818</v>
      </c>
    </row>
    <row r="665" spans="1:16">
      <c r="A665">
        <f t="shared" si="10"/>
        <v>102</v>
      </c>
      <c r="B665" t="s">
        <v>1812</v>
      </c>
      <c r="C665" t="s">
        <v>1813</v>
      </c>
      <c r="D665" t="s">
        <v>196</v>
      </c>
      <c r="E665" t="s">
        <v>1530</v>
      </c>
      <c r="F665" t="s">
        <v>13</v>
      </c>
      <c r="G665" t="s">
        <v>13</v>
      </c>
      <c r="H665" t="s">
        <v>13</v>
      </c>
      <c r="K665" s="30"/>
      <c r="L665" s="8">
        <v>42936.045902777776</v>
      </c>
      <c r="M665" s="21">
        <f>LEN(ProjTextTable[[#This Row],[text]])</f>
        <v>3366</v>
      </c>
      <c r="N665" s="21">
        <f>LEN(TRIM(CLEAN(SUBSTITUTE(ProjTextTable[[#This Row],[text]],CHAR(10)," "))))+1 - LEN(SUBSTITUTE(CLEAN(SUBSTITUTE(ProjTextTable[[#This Row],[text]],CHAR(10)," "))," ",""))</f>
        <v>485</v>
      </c>
      <c r="O665" t="s">
        <v>13</v>
      </c>
      <c r="P665" t="s">
        <v>1819</v>
      </c>
    </row>
    <row r="666" spans="1:16">
      <c r="A666">
        <f t="shared" si="10"/>
        <v>103</v>
      </c>
      <c r="B666" t="s">
        <v>1820</v>
      </c>
      <c r="C666" t="s">
        <v>1821</v>
      </c>
      <c r="D666" t="s">
        <v>205</v>
      </c>
      <c r="E666" t="s">
        <v>543</v>
      </c>
      <c r="F666" t="s">
        <v>619</v>
      </c>
      <c r="G666" t="s">
        <v>620</v>
      </c>
      <c r="H666" t="s">
        <v>365</v>
      </c>
      <c r="I666" t="s">
        <v>200</v>
      </c>
      <c r="J666" t="s">
        <v>1382</v>
      </c>
      <c r="K666" s="30">
        <v>43059</v>
      </c>
      <c r="L666" s="8"/>
      <c r="M666" s="21">
        <f>LEN(ProjTextTable[[#This Row],[text]])</f>
        <v>2674</v>
      </c>
      <c r="N666" s="21">
        <f>LEN(TRIM(CLEAN(SUBSTITUTE(ProjTextTable[[#This Row],[text]],CHAR(10)," "))))+1 - LEN(SUBSTITUTE(CLEAN(SUBSTITUTE(ProjTextTable[[#This Row],[text]],CHAR(10)," "))," ",""))</f>
        <v>394</v>
      </c>
      <c r="O666" t="s">
        <v>344</v>
      </c>
      <c r="P666" t="s">
        <v>1822</v>
      </c>
    </row>
    <row r="667" spans="1:16">
      <c r="A667">
        <f t="shared" si="10"/>
        <v>103</v>
      </c>
      <c r="B667" t="s">
        <v>1820</v>
      </c>
      <c r="C667" t="s">
        <v>1821</v>
      </c>
      <c r="D667" t="s">
        <v>205</v>
      </c>
      <c r="E667" t="s">
        <v>1823</v>
      </c>
      <c r="F667" t="s">
        <v>1824</v>
      </c>
      <c r="G667" t="s">
        <v>1825</v>
      </c>
      <c r="H667" t="s">
        <v>245</v>
      </c>
      <c r="I667" t="s">
        <v>95</v>
      </c>
      <c r="J667" t="s">
        <v>95</v>
      </c>
      <c r="K667" s="30">
        <v>43073</v>
      </c>
      <c r="L667" s="8"/>
      <c r="M667" s="21">
        <f>LEN(ProjTextTable[[#This Row],[text]])</f>
        <v>4180</v>
      </c>
      <c r="N667" s="21">
        <f>LEN(TRIM(CLEAN(SUBSTITUTE(ProjTextTable[[#This Row],[text]],CHAR(10)," "))))+1 - LEN(SUBSTITUTE(CLEAN(SUBSTITUTE(ProjTextTable[[#This Row],[text]],CHAR(10)," "))," ",""))</f>
        <v>594</v>
      </c>
      <c r="O667" t="s">
        <v>243</v>
      </c>
      <c r="P667" t="s">
        <v>1826</v>
      </c>
    </row>
    <row r="668" spans="1:16">
      <c r="A668">
        <f t="shared" si="10"/>
        <v>103</v>
      </c>
      <c r="B668" t="s">
        <v>1820</v>
      </c>
      <c r="C668" t="s">
        <v>1821</v>
      </c>
      <c r="D668" t="s">
        <v>194</v>
      </c>
      <c r="E668" t="s">
        <v>1823</v>
      </c>
      <c r="F668" t="s">
        <v>1579</v>
      </c>
      <c r="G668" t="s">
        <v>1580</v>
      </c>
      <c r="H668" t="s">
        <v>1581</v>
      </c>
      <c r="I668" t="s">
        <v>209</v>
      </c>
      <c r="J668" t="s">
        <v>176</v>
      </c>
      <c r="K668" s="30">
        <v>43060</v>
      </c>
      <c r="L668" s="8">
        <v>43056.609085648146</v>
      </c>
      <c r="M668" s="21">
        <f>LEN(ProjTextTable[[#This Row],[text]])</f>
        <v>3303</v>
      </c>
      <c r="N668" s="21">
        <f>LEN(TRIM(CLEAN(SUBSTITUTE(ProjTextTable[[#This Row],[text]],CHAR(10)," "))))+1 - LEN(SUBSTITUTE(CLEAN(SUBSTITUTE(ProjTextTable[[#This Row],[text]],CHAR(10)," "))," ",""))</f>
        <v>519</v>
      </c>
      <c r="O668" t="s">
        <v>201</v>
      </c>
      <c r="P668" t="s">
        <v>1827</v>
      </c>
    </row>
    <row r="669" spans="1:16">
      <c r="A669">
        <f t="shared" si="10"/>
        <v>103</v>
      </c>
      <c r="B669" t="s">
        <v>1820</v>
      </c>
      <c r="C669" t="s">
        <v>1821</v>
      </c>
      <c r="D669" t="s">
        <v>194</v>
      </c>
      <c r="E669" t="s">
        <v>1823</v>
      </c>
      <c r="F669" t="s">
        <v>622</v>
      </c>
      <c r="G669" t="s">
        <v>623</v>
      </c>
      <c r="H669" t="s">
        <v>624</v>
      </c>
      <c r="I669" t="s">
        <v>209</v>
      </c>
      <c r="J669" t="s">
        <v>176</v>
      </c>
      <c r="K669" s="30">
        <v>43060</v>
      </c>
      <c r="L669" s="8">
        <v>43057.831296296295</v>
      </c>
      <c r="M669" s="21">
        <f>LEN(ProjTextTable[[#This Row],[text]])</f>
        <v>2328</v>
      </c>
      <c r="N669" s="21">
        <f>LEN(TRIM(CLEAN(SUBSTITUTE(ProjTextTable[[#This Row],[text]],CHAR(10)," "))))+1 - LEN(SUBSTITUTE(CLEAN(SUBSTITUTE(ProjTextTable[[#This Row],[text]],CHAR(10)," "))," ",""))</f>
        <v>349</v>
      </c>
      <c r="O669" t="s">
        <v>203</v>
      </c>
      <c r="P669" t="s">
        <v>1828</v>
      </c>
    </row>
    <row r="670" spans="1:16">
      <c r="A670">
        <f t="shared" si="10"/>
        <v>103</v>
      </c>
      <c r="B670" t="s">
        <v>1820</v>
      </c>
      <c r="C670" t="s">
        <v>1821</v>
      </c>
      <c r="D670" t="s">
        <v>194</v>
      </c>
      <c r="E670" t="s">
        <v>1823</v>
      </c>
      <c r="F670" t="s">
        <v>1829</v>
      </c>
      <c r="G670" t="s">
        <v>1830</v>
      </c>
      <c r="H670" t="s">
        <v>1831</v>
      </c>
      <c r="I670" t="s">
        <v>209</v>
      </c>
      <c r="J670" t="s">
        <v>176</v>
      </c>
      <c r="K670" s="30">
        <v>43074</v>
      </c>
      <c r="L670" s="8">
        <v>43072.524259259262</v>
      </c>
      <c r="M670" s="21">
        <f>LEN(ProjTextTable[[#This Row],[text]])</f>
        <v>4364</v>
      </c>
      <c r="N670" s="21">
        <f>LEN(TRIM(CLEAN(SUBSTITUTE(ProjTextTable[[#This Row],[text]],CHAR(10)," "))))+1 - LEN(SUBSTITUTE(CLEAN(SUBSTITUTE(ProjTextTable[[#This Row],[text]],CHAR(10)," "))," ",""))</f>
        <v>684</v>
      </c>
      <c r="O670" t="s">
        <v>198</v>
      </c>
      <c r="P670" t="s">
        <v>1832</v>
      </c>
    </row>
    <row r="671" spans="1:16">
      <c r="A671">
        <f t="shared" si="10"/>
        <v>103</v>
      </c>
      <c r="B671" t="s">
        <v>1820</v>
      </c>
      <c r="C671" t="s">
        <v>1821</v>
      </c>
      <c r="D671" t="s">
        <v>194</v>
      </c>
      <c r="E671" t="s">
        <v>1823</v>
      </c>
      <c r="F671" t="s">
        <v>1733</v>
      </c>
      <c r="G671" t="s">
        <v>1734</v>
      </c>
      <c r="H671" t="s">
        <v>1735</v>
      </c>
      <c r="I671" t="s">
        <v>209</v>
      </c>
      <c r="J671" t="s">
        <v>176</v>
      </c>
      <c r="K671" s="30">
        <v>43060</v>
      </c>
      <c r="L671" s="8">
        <v>43059.316354166665</v>
      </c>
      <c r="M671" s="21">
        <f>LEN(ProjTextTable[[#This Row],[text]])</f>
        <v>1896</v>
      </c>
      <c r="N671" s="21">
        <f>LEN(TRIM(CLEAN(SUBSTITUTE(ProjTextTable[[#This Row],[text]],CHAR(10)," "))))+1 - LEN(SUBSTITUTE(CLEAN(SUBSTITUTE(ProjTextTable[[#This Row],[text]],CHAR(10)," "))," ",""))</f>
        <v>276</v>
      </c>
      <c r="O671" t="s">
        <v>195</v>
      </c>
      <c r="P671" t="s">
        <v>1833</v>
      </c>
    </row>
    <row r="672" spans="1:16">
      <c r="A672">
        <f t="shared" si="10"/>
        <v>103</v>
      </c>
      <c r="B672" t="s">
        <v>1820</v>
      </c>
      <c r="C672" t="s">
        <v>1821</v>
      </c>
      <c r="D672" t="s">
        <v>194</v>
      </c>
      <c r="E672" t="s">
        <v>1823</v>
      </c>
      <c r="F672" t="s">
        <v>1834</v>
      </c>
      <c r="G672" t="s">
        <v>1835</v>
      </c>
      <c r="H672" t="s">
        <v>1836</v>
      </c>
      <c r="I672" t="s">
        <v>209</v>
      </c>
      <c r="J672" t="s">
        <v>176</v>
      </c>
      <c r="K672" s="30">
        <v>43074</v>
      </c>
      <c r="L672" s="8">
        <v>43072.654861111114</v>
      </c>
      <c r="M672" s="21">
        <f>LEN(ProjTextTable[[#This Row],[text]])</f>
        <v>4756</v>
      </c>
      <c r="N672" s="21">
        <f>LEN(TRIM(CLEAN(SUBSTITUTE(ProjTextTable[[#This Row],[text]],CHAR(10)," "))))+1 - LEN(SUBSTITUTE(CLEAN(SUBSTITUTE(ProjTextTable[[#This Row],[text]],CHAR(10)," "))," ",""))</f>
        <v>728</v>
      </c>
      <c r="O672" t="s">
        <v>198</v>
      </c>
      <c r="P672" t="s">
        <v>1837</v>
      </c>
    </row>
    <row r="673" spans="1:16">
      <c r="A673">
        <f t="shared" si="10"/>
        <v>103</v>
      </c>
      <c r="B673" t="s">
        <v>1820</v>
      </c>
      <c r="C673" t="s">
        <v>1821</v>
      </c>
      <c r="D673" t="s">
        <v>194</v>
      </c>
      <c r="E673" t="s">
        <v>1823</v>
      </c>
      <c r="F673" t="s">
        <v>1838</v>
      </c>
      <c r="G673" t="s">
        <v>1839</v>
      </c>
      <c r="H673" t="s">
        <v>1840</v>
      </c>
      <c r="I673" t="s">
        <v>209</v>
      </c>
      <c r="J673" t="s">
        <v>176</v>
      </c>
      <c r="K673" s="30">
        <v>43074</v>
      </c>
      <c r="L673" s="8">
        <v>43072.91814814815</v>
      </c>
      <c r="M673" s="21">
        <f>LEN(ProjTextTable[[#This Row],[text]])</f>
        <v>3560</v>
      </c>
      <c r="N673" s="21">
        <f>LEN(TRIM(CLEAN(SUBSTITUTE(ProjTextTable[[#This Row],[text]],CHAR(10)," "))))+1 - LEN(SUBSTITUTE(CLEAN(SUBSTITUTE(ProjTextTable[[#This Row],[text]],CHAR(10)," "))," ",""))</f>
        <v>531</v>
      </c>
      <c r="O673" t="s">
        <v>198</v>
      </c>
      <c r="P673" t="s">
        <v>1841</v>
      </c>
    </row>
    <row r="674" spans="1:16">
      <c r="A674">
        <f t="shared" si="10"/>
        <v>103</v>
      </c>
      <c r="B674" t="s">
        <v>1820</v>
      </c>
      <c r="C674" t="s">
        <v>1821</v>
      </c>
      <c r="D674" t="s">
        <v>194</v>
      </c>
      <c r="E674" t="s">
        <v>1823</v>
      </c>
      <c r="F674" t="s">
        <v>1842</v>
      </c>
      <c r="G674" t="s">
        <v>1843</v>
      </c>
      <c r="H674" t="s">
        <v>1844</v>
      </c>
      <c r="I674" t="s">
        <v>209</v>
      </c>
      <c r="J674" t="s">
        <v>176</v>
      </c>
      <c r="K674" s="30">
        <v>43074</v>
      </c>
      <c r="L674" s="8">
        <v>43073.748368055552</v>
      </c>
      <c r="M674" s="21">
        <f>LEN(ProjTextTable[[#This Row],[text]])</f>
        <v>2982</v>
      </c>
      <c r="N674" s="21">
        <f>LEN(TRIM(CLEAN(SUBSTITUTE(ProjTextTable[[#This Row],[text]],CHAR(10)," "))))+1 - LEN(SUBSTITUTE(CLEAN(SUBSTITUTE(ProjTextTable[[#This Row],[text]],CHAR(10)," "))," ",""))</f>
        <v>457</v>
      </c>
      <c r="O674" t="s">
        <v>195</v>
      </c>
      <c r="P674" t="s">
        <v>1845</v>
      </c>
    </row>
    <row r="675" spans="1:16">
      <c r="A675">
        <f t="shared" si="10"/>
        <v>103</v>
      </c>
      <c r="B675" t="s">
        <v>1820</v>
      </c>
      <c r="C675" t="s">
        <v>1821</v>
      </c>
      <c r="D675" t="s">
        <v>196</v>
      </c>
      <c r="E675" t="s">
        <v>1823</v>
      </c>
      <c r="F675" t="s">
        <v>13</v>
      </c>
      <c r="G675" t="s">
        <v>13</v>
      </c>
      <c r="H675" t="s">
        <v>13</v>
      </c>
      <c r="K675" s="30"/>
      <c r="L675" s="8">
        <v>42951.042847222219</v>
      </c>
      <c r="M675" s="21">
        <f>LEN(ProjTextTable[[#This Row],[text]])</f>
        <v>4320</v>
      </c>
      <c r="N675" s="21">
        <f>LEN(TRIM(CLEAN(SUBSTITUTE(ProjTextTable[[#This Row],[text]],CHAR(10)," "))))+1 - LEN(SUBSTITUTE(CLEAN(SUBSTITUTE(ProjTextTable[[#This Row],[text]],CHAR(10)," "))," ",""))</f>
        <v>613</v>
      </c>
      <c r="O675" t="s">
        <v>13</v>
      </c>
      <c r="P675" t="s">
        <v>1846</v>
      </c>
    </row>
    <row r="676" spans="1:16">
      <c r="A676">
        <f t="shared" si="10"/>
        <v>104</v>
      </c>
      <c r="B676" t="s">
        <v>1847</v>
      </c>
      <c r="C676" t="s">
        <v>1848</v>
      </c>
      <c r="D676" t="s">
        <v>205</v>
      </c>
      <c r="E676" t="s">
        <v>543</v>
      </c>
      <c r="F676" t="s">
        <v>619</v>
      </c>
      <c r="G676" t="s">
        <v>620</v>
      </c>
      <c r="H676" t="s">
        <v>249</v>
      </c>
      <c r="I676" t="s">
        <v>193</v>
      </c>
      <c r="J676" t="s">
        <v>253</v>
      </c>
      <c r="K676" s="30">
        <v>43059</v>
      </c>
      <c r="L676" s="8"/>
      <c r="M676" s="21">
        <f>LEN(ProjTextTable[[#This Row],[text]])</f>
        <v>3445</v>
      </c>
      <c r="N676" s="21">
        <f>LEN(TRIM(CLEAN(SUBSTITUTE(ProjTextTable[[#This Row],[text]],CHAR(10)," "))))+1 - LEN(SUBSTITUTE(CLEAN(SUBSTITUTE(ProjTextTable[[#This Row],[text]],CHAR(10)," "))," ",""))</f>
        <v>509</v>
      </c>
      <c r="O676" t="s">
        <v>248</v>
      </c>
      <c r="P676" t="s">
        <v>1849</v>
      </c>
    </row>
    <row r="677" spans="1:16">
      <c r="A677">
        <f t="shared" si="10"/>
        <v>104</v>
      </c>
      <c r="B677" t="s">
        <v>1847</v>
      </c>
      <c r="C677" t="s">
        <v>1848</v>
      </c>
      <c r="D677" t="s">
        <v>194</v>
      </c>
      <c r="E677" t="s">
        <v>543</v>
      </c>
      <c r="F677" t="s">
        <v>1579</v>
      </c>
      <c r="G677" t="s">
        <v>1580</v>
      </c>
      <c r="H677" t="s">
        <v>1581</v>
      </c>
      <c r="I677" t="s">
        <v>209</v>
      </c>
      <c r="J677" t="s">
        <v>176</v>
      </c>
      <c r="K677" s="30">
        <v>43060</v>
      </c>
      <c r="L677" s="8">
        <v>43056.617256944446</v>
      </c>
      <c r="M677" s="21">
        <f>LEN(ProjTextTable[[#This Row],[text]])</f>
        <v>2679</v>
      </c>
      <c r="N677" s="21">
        <f>LEN(TRIM(CLEAN(SUBSTITUTE(ProjTextTable[[#This Row],[text]],CHAR(10)," "))))+1 - LEN(SUBSTITUTE(CLEAN(SUBSTITUTE(ProjTextTable[[#This Row],[text]],CHAR(10)," "))," ",""))</f>
        <v>403</v>
      </c>
      <c r="O677" t="s">
        <v>203</v>
      </c>
      <c r="P677" t="s">
        <v>1850</v>
      </c>
    </row>
    <row r="678" spans="1:16">
      <c r="A678">
        <f t="shared" si="10"/>
        <v>104</v>
      </c>
      <c r="B678" t="s">
        <v>1847</v>
      </c>
      <c r="C678" t="s">
        <v>1848</v>
      </c>
      <c r="D678" t="s">
        <v>194</v>
      </c>
      <c r="E678" t="s">
        <v>543</v>
      </c>
      <c r="F678" t="s">
        <v>622</v>
      </c>
      <c r="G678" t="s">
        <v>623</v>
      </c>
      <c r="H678" t="s">
        <v>624</v>
      </c>
      <c r="I678" t="s">
        <v>209</v>
      </c>
      <c r="J678" t="s">
        <v>176</v>
      </c>
      <c r="K678" s="30">
        <v>43060</v>
      </c>
      <c r="L678" s="8">
        <v>43057.974942129629</v>
      </c>
      <c r="M678" s="21">
        <f>LEN(ProjTextTable[[#This Row],[text]])</f>
        <v>2862</v>
      </c>
      <c r="N678" s="21">
        <f>LEN(TRIM(CLEAN(SUBSTITUTE(ProjTextTable[[#This Row],[text]],CHAR(10)," "))))+1 - LEN(SUBSTITUTE(CLEAN(SUBSTITUTE(ProjTextTable[[#This Row],[text]],CHAR(10)," "))," ",""))</f>
        <v>415</v>
      </c>
      <c r="O678" t="s">
        <v>201</v>
      </c>
      <c r="P678" t="s">
        <v>1851</v>
      </c>
    </row>
    <row r="679" spans="1:16">
      <c r="A679">
        <f t="shared" si="10"/>
        <v>104</v>
      </c>
      <c r="B679" t="s">
        <v>1847</v>
      </c>
      <c r="C679" t="s">
        <v>1848</v>
      </c>
      <c r="D679" t="s">
        <v>194</v>
      </c>
      <c r="E679" t="s">
        <v>543</v>
      </c>
      <c r="F679" t="s">
        <v>634</v>
      </c>
      <c r="G679" t="s">
        <v>635</v>
      </c>
      <c r="H679" t="s">
        <v>636</v>
      </c>
      <c r="I679" t="s">
        <v>209</v>
      </c>
      <c r="J679" t="s">
        <v>176</v>
      </c>
      <c r="K679" s="30">
        <v>43060</v>
      </c>
      <c r="L679" s="8">
        <v>43060.386817129627</v>
      </c>
      <c r="M679" s="21">
        <f>LEN(ProjTextTable[[#This Row],[text]])</f>
        <v>4923</v>
      </c>
      <c r="N679" s="21">
        <f>LEN(TRIM(CLEAN(SUBSTITUTE(ProjTextTable[[#This Row],[text]],CHAR(10)," "))))+1 - LEN(SUBSTITUTE(CLEAN(SUBSTITUTE(ProjTextTable[[#This Row],[text]],CHAR(10)," "))," ",""))</f>
        <v>752</v>
      </c>
      <c r="O679" t="s">
        <v>195</v>
      </c>
      <c r="P679" t="s">
        <v>1852</v>
      </c>
    </row>
    <row r="680" spans="1:16">
      <c r="A680">
        <f t="shared" si="10"/>
        <v>104</v>
      </c>
      <c r="B680" t="s">
        <v>1847</v>
      </c>
      <c r="C680" t="s">
        <v>1848</v>
      </c>
      <c r="D680" t="s">
        <v>196</v>
      </c>
      <c r="E680" t="s">
        <v>543</v>
      </c>
      <c r="F680" t="s">
        <v>13</v>
      </c>
      <c r="G680" t="s">
        <v>13</v>
      </c>
      <c r="H680" t="s">
        <v>13</v>
      </c>
      <c r="K680" s="30"/>
      <c r="L680" s="8">
        <v>42955.042557870373</v>
      </c>
      <c r="M680" s="21">
        <f>LEN(ProjTextTable[[#This Row],[text]])</f>
        <v>4167</v>
      </c>
      <c r="N680" s="21">
        <f>LEN(TRIM(CLEAN(SUBSTITUTE(ProjTextTable[[#This Row],[text]],CHAR(10)," "))))+1 - LEN(SUBSTITUTE(CLEAN(SUBSTITUTE(ProjTextTable[[#This Row],[text]],CHAR(10)," "))," ",""))</f>
        <v>598</v>
      </c>
      <c r="O680" t="s">
        <v>13</v>
      </c>
      <c r="P680" t="s">
        <v>1853</v>
      </c>
    </row>
    <row r="681" spans="1:16">
      <c r="A681">
        <f t="shared" si="10"/>
        <v>105</v>
      </c>
      <c r="B681" t="s">
        <v>1854</v>
      </c>
      <c r="C681" t="s">
        <v>336</v>
      </c>
      <c r="D681" t="s">
        <v>205</v>
      </c>
      <c r="E681" t="s">
        <v>543</v>
      </c>
      <c r="F681" t="s">
        <v>544</v>
      </c>
      <c r="G681" t="s">
        <v>545</v>
      </c>
      <c r="H681" t="s">
        <v>365</v>
      </c>
      <c r="I681" t="s">
        <v>200</v>
      </c>
      <c r="J681" t="s">
        <v>253</v>
      </c>
      <c r="K681" s="30">
        <v>43031</v>
      </c>
      <c r="L681" s="8">
        <v>43075.684641203705</v>
      </c>
      <c r="M681" s="21">
        <f>LEN(ProjTextTable[[#This Row],[text]])</f>
        <v>2162</v>
      </c>
      <c r="N681" s="21">
        <f>LEN(TRIM(CLEAN(SUBSTITUTE(ProjTextTable[[#This Row],[text]],CHAR(10)," "))))+1 - LEN(SUBSTITUTE(CLEAN(SUBSTITUTE(ProjTextTable[[#This Row],[text]],CHAR(10)," "))," ",""))</f>
        <v>303</v>
      </c>
      <c r="O681" t="s">
        <v>344</v>
      </c>
      <c r="P681" t="s">
        <v>1855</v>
      </c>
    </row>
    <row r="682" spans="1:16">
      <c r="A682">
        <f t="shared" si="10"/>
        <v>105</v>
      </c>
      <c r="B682" t="s">
        <v>1854</v>
      </c>
      <c r="C682" t="s">
        <v>336</v>
      </c>
      <c r="D682" t="s">
        <v>194</v>
      </c>
      <c r="E682" t="s">
        <v>543</v>
      </c>
      <c r="F682" t="s">
        <v>568</v>
      </c>
      <c r="G682" t="s">
        <v>569</v>
      </c>
      <c r="H682" t="s">
        <v>570</v>
      </c>
      <c r="I682" t="s">
        <v>209</v>
      </c>
      <c r="J682" t="s">
        <v>176</v>
      </c>
      <c r="K682" s="30">
        <v>43032</v>
      </c>
      <c r="L682" s="8">
        <v>43026.986875000002</v>
      </c>
      <c r="M682" s="21">
        <f>LEN(ProjTextTable[[#This Row],[text]])</f>
        <v>1796</v>
      </c>
      <c r="N682" s="21">
        <f>LEN(TRIM(CLEAN(SUBSTITUTE(ProjTextTable[[#This Row],[text]],CHAR(10)," "))))+1 - LEN(SUBSTITUTE(CLEAN(SUBSTITUTE(ProjTextTable[[#This Row],[text]],CHAR(10)," "))," ",""))</f>
        <v>279</v>
      </c>
      <c r="O682" t="s">
        <v>201</v>
      </c>
      <c r="P682" t="s">
        <v>1856</v>
      </c>
    </row>
    <row r="683" spans="1:16">
      <c r="A683">
        <f t="shared" si="10"/>
        <v>105</v>
      </c>
      <c r="B683" t="s">
        <v>1854</v>
      </c>
      <c r="C683" t="s">
        <v>336</v>
      </c>
      <c r="D683" t="s">
        <v>194</v>
      </c>
      <c r="E683" t="s">
        <v>543</v>
      </c>
      <c r="F683" t="s">
        <v>673</v>
      </c>
      <c r="G683" t="s">
        <v>674</v>
      </c>
      <c r="H683" t="s">
        <v>675</v>
      </c>
      <c r="I683" t="s">
        <v>209</v>
      </c>
      <c r="J683" t="s">
        <v>176</v>
      </c>
      <c r="K683" s="30">
        <v>43032</v>
      </c>
      <c r="L683" s="8">
        <v>43027.924050925925</v>
      </c>
      <c r="M683" s="21">
        <f>LEN(ProjTextTable[[#This Row],[text]])</f>
        <v>2309</v>
      </c>
      <c r="N683" s="21">
        <f>LEN(TRIM(CLEAN(SUBSTITUTE(ProjTextTable[[#This Row],[text]],CHAR(10)," "))))+1 - LEN(SUBSTITUTE(CLEAN(SUBSTITUTE(ProjTextTable[[#This Row],[text]],CHAR(10)," "))," ",""))</f>
        <v>353</v>
      </c>
      <c r="O683" t="s">
        <v>203</v>
      </c>
      <c r="P683" t="s">
        <v>1857</v>
      </c>
    </row>
    <row r="684" spans="1:16">
      <c r="A684">
        <f t="shared" si="10"/>
        <v>105</v>
      </c>
      <c r="B684" t="s">
        <v>1854</v>
      </c>
      <c r="C684" t="s">
        <v>336</v>
      </c>
      <c r="D684" t="s">
        <v>194</v>
      </c>
      <c r="E684" t="s">
        <v>543</v>
      </c>
      <c r="F684" t="s">
        <v>556</v>
      </c>
      <c r="G684" t="s">
        <v>557</v>
      </c>
      <c r="H684" t="s">
        <v>558</v>
      </c>
      <c r="I684" t="s">
        <v>209</v>
      </c>
      <c r="J684" t="s">
        <v>176</v>
      </c>
      <c r="K684" s="30">
        <v>43032</v>
      </c>
      <c r="L684" s="8">
        <v>43030.984317129631</v>
      </c>
      <c r="M684" s="21">
        <f>LEN(ProjTextTable[[#This Row],[text]])</f>
        <v>1903</v>
      </c>
      <c r="N684" s="21">
        <f>LEN(TRIM(CLEAN(SUBSTITUTE(ProjTextTable[[#This Row],[text]],CHAR(10)," "))))+1 - LEN(SUBSTITUTE(CLEAN(SUBSTITUTE(ProjTextTable[[#This Row],[text]],CHAR(10)," "))," ",""))</f>
        <v>283</v>
      </c>
      <c r="O684" t="s">
        <v>201</v>
      </c>
      <c r="P684" t="s">
        <v>1858</v>
      </c>
    </row>
    <row r="685" spans="1:16">
      <c r="A685">
        <f t="shared" si="10"/>
        <v>105</v>
      </c>
      <c r="B685" t="s">
        <v>1854</v>
      </c>
      <c r="C685" t="s">
        <v>336</v>
      </c>
      <c r="D685" t="s">
        <v>194</v>
      </c>
      <c r="E685" t="s">
        <v>543</v>
      </c>
      <c r="F685" t="s">
        <v>591</v>
      </c>
      <c r="G685" t="s">
        <v>592</v>
      </c>
      <c r="H685" t="s">
        <v>593</v>
      </c>
      <c r="I685" t="s">
        <v>209</v>
      </c>
      <c r="J685" t="s">
        <v>176</v>
      </c>
      <c r="K685" s="30">
        <v>43032</v>
      </c>
      <c r="L685" s="8">
        <v>43031.775856481479</v>
      </c>
      <c r="M685" s="21">
        <f>LEN(ProjTextTable[[#This Row],[text]])</f>
        <v>1055</v>
      </c>
      <c r="N685" s="21">
        <f>LEN(TRIM(CLEAN(SUBSTITUTE(ProjTextTable[[#This Row],[text]],CHAR(10)," "))))+1 - LEN(SUBSTITUTE(CLEAN(SUBSTITUTE(ProjTextTable[[#This Row],[text]],CHAR(10)," "))," ",""))</f>
        <v>153</v>
      </c>
      <c r="O685" t="s">
        <v>201</v>
      </c>
      <c r="P685" t="s">
        <v>1859</v>
      </c>
    </row>
    <row r="686" spans="1:16">
      <c r="A686">
        <f t="shared" si="10"/>
        <v>106</v>
      </c>
      <c r="B686" t="s">
        <v>1860</v>
      </c>
      <c r="C686" t="s">
        <v>1861</v>
      </c>
      <c r="D686" t="s">
        <v>205</v>
      </c>
      <c r="E686" t="s">
        <v>543</v>
      </c>
      <c r="F686" t="s">
        <v>619</v>
      </c>
      <c r="G686" t="s">
        <v>620</v>
      </c>
      <c r="H686" t="s">
        <v>207</v>
      </c>
      <c r="I686" t="s">
        <v>197</v>
      </c>
      <c r="J686" t="s">
        <v>200</v>
      </c>
      <c r="K686" s="30">
        <v>43059</v>
      </c>
      <c r="L686" s="8"/>
      <c r="M686" s="21">
        <f>LEN(ProjTextTable[[#This Row],[text]])</f>
        <v>3096</v>
      </c>
      <c r="N686" s="21">
        <f>LEN(TRIM(CLEAN(SUBSTITUTE(ProjTextTable[[#This Row],[text]],CHAR(10)," "))))+1 - LEN(SUBSTITUTE(CLEAN(SUBSTITUTE(ProjTextTable[[#This Row],[text]],CHAR(10)," "))," ",""))</f>
        <v>454</v>
      </c>
      <c r="O686" t="s">
        <v>208</v>
      </c>
      <c r="P686" t="s">
        <v>1862</v>
      </c>
    </row>
    <row r="687" spans="1:16">
      <c r="A687">
        <f t="shared" si="10"/>
        <v>106</v>
      </c>
      <c r="B687" t="s">
        <v>1860</v>
      </c>
      <c r="C687" t="s">
        <v>1861</v>
      </c>
      <c r="D687" t="s">
        <v>194</v>
      </c>
      <c r="E687" t="s">
        <v>1530</v>
      </c>
      <c r="F687" t="s">
        <v>622</v>
      </c>
      <c r="G687" t="s">
        <v>623</v>
      </c>
      <c r="H687" t="s">
        <v>624</v>
      </c>
      <c r="I687" t="s">
        <v>209</v>
      </c>
      <c r="J687" t="s">
        <v>176</v>
      </c>
      <c r="K687" s="30">
        <v>43060</v>
      </c>
      <c r="L687" s="8">
        <v>43059.033379629633</v>
      </c>
      <c r="M687" s="21">
        <f>LEN(ProjTextTable[[#This Row],[text]])</f>
        <v>1750</v>
      </c>
      <c r="N687" s="21">
        <f>LEN(TRIM(CLEAN(SUBSTITUTE(ProjTextTable[[#This Row],[text]],CHAR(10)," "))))+1 - LEN(SUBSTITUTE(CLEAN(SUBSTITUTE(ProjTextTable[[#This Row],[text]],CHAR(10)," "))," ",""))</f>
        <v>248</v>
      </c>
      <c r="O687" t="s">
        <v>199</v>
      </c>
      <c r="P687" t="s">
        <v>1863</v>
      </c>
    </row>
    <row r="688" spans="1:16">
      <c r="A688">
        <f t="shared" si="10"/>
        <v>106</v>
      </c>
      <c r="B688" t="s">
        <v>1860</v>
      </c>
      <c r="C688" t="s">
        <v>1861</v>
      </c>
      <c r="D688" t="s">
        <v>194</v>
      </c>
      <c r="E688" t="s">
        <v>543</v>
      </c>
      <c r="F688" t="s">
        <v>626</v>
      </c>
      <c r="G688" t="s">
        <v>627</v>
      </c>
      <c r="H688" t="s">
        <v>628</v>
      </c>
      <c r="I688" t="s">
        <v>209</v>
      </c>
      <c r="J688" t="s">
        <v>176</v>
      </c>
      <c r="K688" s="30">
        <v>43060</v>
      </c>
      <c r="L688" s="8">
        <v>43060.398402777777</v>
      </c>
      <c r="M688" s="21">
        <f>LEN(ProjTextTable[[#This Row],[text]])</f>
        <v>1643</v>
      </c>
      <c r="N688" s="21">
        <f>LEN(TRIM(CLEAN(SUBSTITUTE(ProjTextTable[[#This Row],[text]],CHAR(10)," "))))+1 - LEN(SUBSTITUTE(CLEAN(SUBSTITUTE(ProjTextTable[[#This Row],[text]],CHAR(10)," "))," ",""))</f>
        <v>240</v>
      </c>
      <c r="O688" t="s">
        <v>202</v>
      </c>
      <c r="P688" t="s">
        <v>1864</v>
      </c>
    </row>
    <row r="689" spans="1:16">
      <c r="A689">
        <f t="shared" si="10"/>
        <v>106</v>
      </c>
      <c r="B689" t="s">
        <v>1860</v>
      </c>
      <c r="C689" t="s">
        <v>1861</v>
      </c>
      <c r="D689" t="s">
        <v>194</v>
      </c>
      <c r="E689" t="s">
        <v>543</v>
      </c>
      <c r="F689" t="s">
        <v>1507</v>
      </c>
      <c r="G689" t="s">
        <v>1508</v>
      </c>
      <c r="H689" t="s">
        <v>1509</v>
      </c>
      <c r="I689" t="s">
        <v>209</v>
      </c>
      <c r="J689" t="s">
        <v>176</v>
      </c>
      <c r="K689" s="30">
        <v>43060</v>
      </c>
      <c r="L689" s="8">
        <v>43058.877210648148</v>
      </c>
      <c r="M689" s="21">
        <f>LEN(ProjTextTable[[#This Row],[text]])</f>
        <v>3453</v>
      </c>
      <c r="N689" s="21">
        <f>LEN(TRIM(CLEAN(SUBSTITUTE(ProjTextTable[[#This Row],[text]],CHAR(10)," "))))+1 - LEN(SUBSTITUTE(CLEAN(SUBSTITUTE(ProjTextTable[[#This Row],[text]],CHAR(10)," "))," ",""))</f>
        <v>511</v>
      </c>
      <c r="O689" t="s">
        <v>195</v>
      </c>
      <c r="P689" t="s">
        <v>1865</v>
      </c>
    </row>
    <row r="690" spans="1:16">
      <c r="A690">
        <f t="shared" si="10"/>
        <v>106</v>
      </c>
      <c r="B690" t="s">
        <v>1860</v>
      </c>
      <c r="C690" t="s">
        <v>1861</v>
      </c>
      <c r="D690" t="s">
        <v>194</v>
      </c>
      <c r="E690" t="s">
        <v>543</v>
      </c>
      <c r="F690" t="s">
        <v>1515</v>
      </c>
      <c r="G690" t="s">
        <v>1516</v>
      </c>
      <c r="H690" t="s">
        <v>1517</v>
      </c>
      <c r="I690" t="s">
        <v>209</v>
      </c>
      <c r="J690" t="s">
        <v>176</v>
      </c>
      <c r="K690" s="30">
        <v>43060</v>
      </c>
      <c r="L690" s="8">
        <v>43059.06417824074</v>
      </c>
      <c r="M690" s="21">
        <f>LEN(ProjTextTable[[#This Row],[text]])</f>
        <v>817</v>
      </c>
      <c r="N690" s="21">
        <f>LEN(TRIM(CLEAN(SUBSTITUTE(ProjTextTable[[#This Row],[text]],CHAR(10)," "))))+1 - LEN(SUBSTITUTE(CLEAN(SUBSTITUTE(ProjTextTable[[#This Row],[text]],CHAR(10)," "))," ",""))</f>
        <v>129</v>
      </c>
      <c r="O690" t="s">
        <v>176</v>
      </c>
      <c r="P690" t="s">
        <v>1866</v>
      </c>
    </row>
    <row r="691" spans="1:16">
      <c r="A691">
        <f t="shared" si="10"/>
        <v>106</v>
      </c>
      <c r="B691" t="s">
        <v>1860</v>
      </c>
      <c r="C691" t="s">
        <v>1861</v>
      </c>
      <c r="D691" t="s">
        <v>196</v>
      </c>
      <c r="E691" t="s">
        <v>1530</v>
      </c>
      <c r="F691" t="s">
        <v>13</v>
      </c>
      <c r="G691" t="s">
        <v>13</v>
      </c>
      <c r="H691" t="s">
        <v>13</v>
      </c>
      <c r="K691" s="30"/>
      <c r="L691" s="8">
        <v>42956.042430555557</v>
      </c>
      <c r="M691" s="21">
        <f>LEN(ProjTextTable[[#This Row],[text]])</f>
        <v>3167</v>
      </c>
      <c r="N691" s="21">
        <f>LEN(TRIM(CLEAN(SUBSTITUTE(ProjTextTable[[#This Row],[text]],CHAR(10)," "))))+1 - LEN(SUBSTITUTE(CLEAN(SUBSTITUTE(ProjTextTable[[#This Row],[text]],CHAR(10)," "))," ",""))</f>
        <v>430</v>
      </c>
      <c r="O691" t="s">
        <v>13</v>
      </c>
      <c r="P691" t="s">
        <v>1867</v>
      </c>
    </row>
    <row r="692" spans="1:16">
      <c r="A692">
        <f t="shared" si="10"/>
        <v>107</v>
      </c>
      <c r="B692" t="s">
        <v>1868</v>
      </c>
      <c r="C692" t="s">
        <v>1734</v>
      </c>
      <c r="D692" t="s">
        <v>205</v>
      </c>
      <c r="E692" t="s">
        <v>543</v>
      </c>
      <c r="F692" t="s">
        <v>619</v>
      </c>
      <c r="G692" t="s">
        <v>620</v>
      </c>
      <c r="H692" t="s">
        <v>245</v>
      </c>
      <c r="I692" t="s">
        <v>95</v>
      </c>
      <c r="J692" t="s">
        <v>197</v>
      </c>
      <c r="K692" s="30">
        <v>43059</v>
      </c>
      <c r="L692" s="8"/>
      <c r="M692" s="21">
        <f>LEN(ProjTextTable[[#This Row],[text]])</f>
        <v>4255</v>
      </c>
      <c r="N692" s="21">
        <f>LEN(TRIM(CLEAN(SUBSTITUTE(ProjTextTable[[#This Row],[text]],CHAR(10)," "))))+1 - LEN(SUBSTITUTE(CLEAN(SUBSTITUTE(ProjTextTable[[#This Row],[text]],CHAR(10)," "))," ",""))</f>
        <v>654</v>
      </c>
      <c r="O692" t="s">
        <v>243</v>
      </c>
      <c r="P692" t="s">
        <v>1869</v>
      </c>
    </row>
    <row r="693" spans="1:16">
      <c r="A693">
        <f t="shared" si="10"/>
        <v>107</v>
      </c>
      <c r="B693" t="s">
        <v>1868</v>
      </c>
      <c r="C693" t="s">
        <v>1734</v>
      </c>
      <c r="D693" t="s">
        <v>194</v>
      </c>
      <c r="E693" t="s">
        <v>543</v>
      </c>
      <c r="F693" t="s">
        <v>1579</v>
      </c>
      <c r="G693" t="s">
        <v>1580</v>
      </c>
      <c r="H693" t="s">
        <v>1581</v>
      </c>
      <c r="I693" t="s">
        <v>209</v>
      </c>
      <c r="J693" t="s">
        <v>176</v>
      </c>
      <c r="K693" s="30">
        <v>43060</v>
      </c>
      <c r="L693" s="8">
        <v>43056.619537037041</v>
      </c>
      <c r="M693" s="21">
        <f>LEN(ProjTextTable[[#This Row],[text]])</f>
        <v>2478</v>
      </c>
      <c r="N693" s="21">
        <f>LEN(TRIM(CLEAN(SUBSTITUTE(ProjTextTable[[#This Row],[text]],CHAR(10)," "))))+1 - LEN(SUBSTITUTE(CLEAN(SUBSTITUTE(ProjTextTable[[#This Row],[text]],CHAR(10)," "))," ",""))</f>
        <v>375</v>
      </c>
      <c r="O693" t="s">
        <v>199</v>
      </c>
      <c r="P693" t="s">
        <v>1870</v>
      </c>
    </row>
    <row r="694" spans="1:16">
      <c r="A694">
        <f t="shared" si="10"/>
        <v>107</v>
      </c>
      <c r="B694" t="s">
        <v>1868</v>
      </c>
      <c r="C694" t="s">
        <v>1734</v>
      </c>
      <c r="D694" t="s">
        <v>194</v>
      </c>
      <c r="E694" t="s">
        <v>543</v>
      </c>
      <c r="F694" t="s">
        <v>622</v>
      </c>
      <c r="G694" t="s">
        <v>623</v>
      </c>
      <c r="H694" t="s">
        <v>624</v>
      </c>
      <c r="I694" t="s">
        <v>209</v>
      </c>
      <c r="J694" t="s">
        <v>176</v>
      </c>
      <c r="K694" s="30">
        <v>43060</v>
      </c>
      <c r="L694" s="8">
        <v>43059.53533564815</v>
      </c>
      <c r="M694" s="21">
        <f>LEN(ProjTextTable[[#This Row],[text]])</f>
        <v>2255</v>
      </c>
      <c r="N694" s="21">
        <f>LEN(TRIM(CLEAN(SUBSTITUTE(ProjTextTable[[#This Row],[text]],CHAR(10)," "))))+1 - LEN(SUBSTITUTE(CLEAN(SUBSTITUTE(ProjTextTable[[#This Row],[text]],CHAR(10)," "))," ",""))</f>
        <v>328</v>
      </c>
      <c r="O694" t="s">
        <v>199</v>
      </c>
      <c r="P694" t="s">
        <v>1871</v>
      </c>
    </row>
    <row r="695" spans="1:16">
      <c r="A695">
        <f t="shared" si="10"/>
        <v>107</v>
      </c>
      <c r="B695" t="s">
        <v>1868</v>
      </c>
      <c r="C695" t="s">
        <v>1734</v>
      </c>
      <c r="D695" t="s">
        <v>194</v>
      </c>
      <c r="E695" t="s">
        <v>543</v>
      </c>
      <c r="F695" t="s">
        <v>1733</v>
      </c>
      <c r="G695" t="s">
        <v>1734</v>
      </c>
      <c r="H695" t="s">
        <v>1735</v>
      </c>
      <c r="I695" t="s">
        <v>209</v>
      </c>
      <c r="J695" t="s">
        <v>176</v>
      </c>
      <c r="K695" s="30">
        <v>43060</v>
      </c>
      <c r="L695" s="8">
        <v>43054.505729166667</v>
      </c>
      <c r="M695" s="21">
        <f>LEN(ProjTextTable[[#This Row],[text]])</f>
        <v>1579</v>
      </c>
      <c r="N695" s="21">
        <f>LEN(TRIM(CLEAN(SUBSTITUTE(ProjTextTable[[#This Row],[text]],CHAR(10)," "))))+1 - LEN(SUBSTITUTE(CLEAN(SUBSTITUTE(ProjTextTable[[#This Row],[text]],CHAR(10)," "))," ",""))</f>
        <v>230</v>
      </c>
      <c r="O695" t="s">
        <v>198</v>
      </c>
      <c r="P695" t="s">
        <v>1872</v>
      </c>
    </row>
    <row r="696" spans="1:16">
      <c r="A696">
        <f t="shared" si="10"/>
        <v>107</v>
      </c>
      <c r="B696" t="s">
        <v>1868</v>
      </c>
      <c r="C696" t="s">
        <v>1734</v>
      </c>
      <c r="D696" t="s">
        <v>196</v>
      </c>
      <c r="E696" t="s">
        <v>543</v>
      </c>
      <c r="F696" t="s">
        <v>13</v>
      </c>
      <c r="G696" t="s">
        <v>13</v>
      </c>
      <c r="H696" t="s">
        <v>13</v>
      </c>
      <c r="K696" s="30"/>
      <c r="L696" s="8">
        <v>42956.042557870373</v>
      </c>
      <c r="M696" s="21">
        <f>LEN(ProjTextTable[[#This Row],[text]])</f>
        <v>3157</v>
      </c>
      <c r="N696" s="21">
        <f>LEN(TRIM(CLEAN(SUBSTITUTE(ProjTextTable[[#This Row],[text]],CHAR(10)," "))))+1 - LEN(SUBSTITUTE(CLEAN(SUBSTITUTE(ProjTextTable[[#This Row],[text]],CHAR(10)," "))," ",""))</f>
        <v>462</v>
      </c>
      <c r="O696" t="s">
        <v>13</v>
      </c>
      <c r="P696" t="s">
        <v>1873</v>
      </c>
    </row>
    <row r="697" spans="1:16">
      <c r="A697">
        <f t="shared" si="10"/>
        <v>108</v>
      </c>
      <c r="B697" t="s">
        <v>1874</v>
      </c>
      <c r="C697" t="s">
        <v>1875</v>
      </c>
      <c r="D697" t="s">
        <v>205</v>
      </c>
      <c r="E697" t="s">
        <v>543</v>
      </c>
      <c r="F697" t="s">
        <v>619</v>
      </c>
      <c r="G697" t="s">
        <v>620</v>
      </c>
      <c r="H697" t="s">
        <v>365</v>
      </c>
      <c r="I697" t="s">
        <v>200</v>
      </c>
      <c r="J697" t="s">
        <v>1382</v>
      </c>
      <c r="K697" s="30">
        <v>43059</v>
      </c>
      <c r="L697" s="8"/>
      <c r="M697" s="21">
        <f>LEN(ProjTextTable[[#This Row],[text]])</f>
        <v>5594</v>
      </c>
      <c r="N697" s="21">
        <f>LEN(TRIM(CLEAN(SUBSTITUTE(ProjTextTable[[#This Row],[text]],CHAR(10)," "))))+1 - LEN(SUBSTITUTE(CLEAN(SUBSTITUTE(ProjTextTable[[#This Row],[text]],CHAR(10)," "))," ",""))</f>
        <v>912</v>
      </c>
      <c r="O697" t="s">
        <v>344</v>
      </c>
      <c r="P697" t="s">
        <v>1876</v>
      </c>
    </row>
    <row r="698" spans="1:16">
      <c r="A698">
        <f t="shared" si="10"/>
        <v>108</v>
      </c>
      <c r="B698" t="s">
        <v>1874</v>
      </c>
      <c r="C698" t="s">
        <v>1875</v>
      </c>
      <c r="D698" t="s">
        <v>205</v>
      </c>
      <c r="E698" t="s">
        <v>1877</v>
      </c>
      <c r="F698" t="s">
        <v>1878</v>
      </c>
      <c r="G698" t="s">
        <v>1879</v>
      </c>
      <c r="H698" t="s">
        <v>249</v>
      </c>
      <c r="I698" t="s">
        <v>193</v>
      </c>
      <c r="K698" s="30">
        <v>43067</v>
      </c>
      <c r="L698" s="8">
        <v>43075.655682870369</v>
      </c>
      <c r="M698" s="21">
        <f>LEN(ProjTextTable[[#This Row],[text]])</f>
        <v>3417</v>
      </c>
      <c r="N698" s="21">
        <f>LEN(TRIM(CLEAN(SUBSTITUTE(ProjTextTable[[#This Row],[text]],CHAR(10)," "))))+1 - LEN(SUBSTITUTE(CLEAN(SUBSTITUTE(ProjTextTable[[#This Row],[text]],CHAR(10)," "))," ",""))</f>
        <v>494</v>
      </c>
      <c r="O698" t="s">
        <v>248</v>
      </c>
      <c r="P698" t="s">
        <v>1880</v>
      </c>
    </row>
    <row r="699" spans="1:16">
      <c r="A699">
        <f t="shared" si="10"/>
        <v>108</v>
      </c>
      <c r="B699" t="s">
        <v>1874</v>
      </c>
      <c r="C699" t="s">
        <v>1875</v>
      </c>
      <c r="D699" t="s">
        <v>2</v>
      </c>
      <c r="E699" t="s">
        <v>1877</v>
      </c>
      <c r="F699" t="s">
        <v>13</v>
      </c>
      <c r="G699" t="s">
        <v>925</v>
      </c>
      <c r="H699" t="s">
        <v>13</v>
      </c>
      <c r="I699" t="s">
        <v>13</v>
      </c>
      <c r="K699" s="30"/>
      <c r="L699" s="8">
        <v>43070.440868055557</v>
      </c>
      <c r="M699" s="21">
        <f>LEN(ProjTextTable[[#This Row],[text]])</f>
        <v>3969</v>
      </c>
      <c r="N699" s="21">
        <f>LEN(TRIM(CLEAN(SUBSTITUTE(ProjTextTable[[#This Row],[text]],CHAR(10)," "))))+1 - LEN(SUBSTITUTE(CLEAN(SUBSTITUTE(ProjTextTable[[#This Row],[text]],CHAR(10)," "))," ",""))</f>
        <v>606</v>
      </c>
      <c r="O699" t="s">
        <v>13</v>
      </c>
      <c r="P699" t="s">
        <v>1881</v>
      </c>
    </row>
    <row r="700" spans="1:16">
      <c r="A700">
        <f t="shared" si="10"/>
        <v>108</v>
      </c>
      <c r="B700" t="s">
        <v>1874</v>
      </c>
      <c r="C700" t="s">
        <v>1875</v>
      </c>
      <c r="D700" t="s">
        <v>194</v>
      </c>
      <c r="E700" t="s">
        <v>1882</v>
      </c>
      <c r="F700" t="s">
        <v>1579</v>
      </c>
      <c r="G700" t="s">
        <v>1580</v>
      </c>
      <c r="H700" t="s">
        <v>1581</v>
      </c>
      <c r="I700" t="s">
        <v>209</v>
      </c>
      <c r="J700" t="s">
        <v>176</v>
      </c>
      <c r="K700" s="30">
        <v>43060</v>
      </c>
      <c r="L700" s="8">
        <v>43059.614282407405</v>
      </c>
      <c r="M700" s="21">
        <f>LEN(ProjTextTable[[#This Row],[text]])</f>
        <v>3606</v>
      </c>
      <c r="N700" s="21">
        <f>LEN(TRIM(CLEAN(SUBSTITUTE(ProjTextTable[[#This Row],[text]],CHAR(10)," "))))+1 - LEN(SUBSTITUTE(CLEAN(SUBSTITUTE(ProjTextTable[[#This Row],[text]],CHAR(10)," "))," ",""))</f>
        <v>593</v>
      </c>
      <c r="O700" t="s">
        <v>202</v>
      </c>
      <c r="P700" t="s">
        <v>1883</v>
      </c>
    </row>
    <row r="701" spans="1:16">
      <c r="A701">
        <f t="shared" si="10"/>
        <v>108</v>
      </c>
      <c r="B701" t="s">
        <v>1874</v>
      </c>
      <c r="C701" t="s">
        <v>1875</v>
      </c>
      <c r="D701" t="s">
        <v>194</v>
      </c>
      <c r="E701" t="s">
        <v>1877</v>
      </c>
      <c r="F701" t="s">
        <v>1884</v>
      </c>
      <c r="G701" t="s">
        <v>1885</v>
      </c>
      <c r="H701" t="s">
        <v>1886</v>
      </c>
      <c r="I701" t="s">
        <v>95</v>
      </c>
      <c r="J701" t="s">
        <v>176</v>
      </c>
      <c r="K701" s="30">
        <v>43068</v>
      </c>
      <c r="L701" s="8">
        <v>43068.363229166665</v>
      </c>
      <c r="M701" s="21">
        <f>LEN(ProjTextTable[[#This Row],[text]])</f>
        <v>6314</v>
      </c>
      <c r="N701" s="21">
        <f>LEN(TRIM(CLEAN(SUBSTITUTE(ProjTextTable[[#This Row],[text]],CHAR(10)," "))))+1 - LEN(SUBSTITUTE(CLEAN(SUBSTITUTE(ProjTextTable[[#This Row],[text]],CHAR(10)," "))," ",""))</f>
        <v>1000</v>
      </c>
      <c r="O701" t="s">
        <v>201</v>
      </c>
      <c r="P701" t="s">
        <v>1887</v>
      </c>
    </row>
    <row r="702" spans="1:16">
      <c r="A702">
        <f t="shared" si="10"/>
        <v>108</v>
      </c>
      <c r="B702" t="s">
        <v>1874</v>
      </c>
      <c r="C702" t="s">
        <v>1875</v>
      </c>
      <c r="D702" t="s">
        <v>194</v>
      </c>
      <c r="E702" t="s">
        <v>1877</v>
      </c>
      <c r="F702" t="s">
        <v>1888</v>
      </c>
      <c r="G702" t="s">
        <v>1889</v>
      </c>
      <c r="H702" t="s">
        <v>1890</v>
      </c>
      <c r="I702" t="s">
        <v>95</v>
      </c>
      <c r="J702" t="s">
        <v>176</v>
      </c>
      <c r="K702" s="30">
        <v>43068</v>
      </c>
      <c r="L702" s="8">
        <v>43067.758935185186</v>
      </c>
      <c r="M702" s="21">
        <f>LEN(ProjTextTable[[#This Row],[text]])</f>
        <v>2592</v>
      </c>
      <c r="N702" s="21">
        <f>LEN(TRIM(CLEAN(SUBSTITUTE(ProjTextTable[[#This Row],[text]],CHAR(10)," "))))+1 - LEN(SUBSTITUTE(CLEAN(SUBSTITUTE(ProjTextTable[[#This Row],[text]],CHAR(10)," "))," ",""))</f>
        <v>383</v>
      </c>
      <c r="O702" t="s">
        <v>195</v>
      </c>
      <c r="P702" t="s">
        <v>1891</v>
      </c>
    </row>
    <row r="703" spans="1:16">
      <c r="A703">
        <f t="shared" si="10"/>
        <v>108</v>
      </c>
      <c r="B703" t="s">
        <v>1874</v>
      </c>
      <c r="C703" t="s">
        <v>1875</v>
      </c>
      <c r="D703" t="s">
        <v>194</v>
      </c>
      <c r="E703" t="s">
        <v>1882</v>
      </c>
      <c r="F703" t="s">
        <v>634</v>
      </c>
      <c r="G703" t="s">
        <v>635</v>
      </c>
      <c r="H703" t="s">
        <v>636</v>
      </c>
      <c r="I703" t="s">
        <v>209</v>
      </c>
      <c r="J703" t="s">
        <v>176</v>
      </c>
      <c r="K703" s="30">
        <v>43060</v>
      </c>
      <c r="L703" s="8">
        <v>43057.350092592591</v>
      </c>
      <c r="M703" s="21">
        <f>LEN(ProjTextTable[[#This Row],[text]])</f>
        <v>4440</v>
      </c>
      <c r="N703" s="21">
        <f>LEN(TRIM(CLEAN(SUBSTITUTE(ProjTextTable[[#This Row],[text]],CHAR(10)," "))))+1 - LEN(SUBSTITUTE(CLEAN(SUBSTITUTE(ProjTextTable[[#This Row],[text]],CHAR(10)," "))," ",""))</f>
        <v>695</v>
      </c>
      <c r="O703" t="s">
        <v>251</v>
      </c>
      <c r="P703" t="s">
        <v>1892</v>
      </c>
    </row>
    <row r="704" spans="1:16">
      <c r="A704">
        <f t="shared" si="10"/>
        <v>108</v>
      </c>
      <c r="B704" t="s">
        <v>1874</v>
      </c>
      <c r="C704" t="s">
        <v>1875</v>
      </c>
      <c r="D704" t="s">
        <v>194</v>
      </c>
      <c r="E704" t="s">
        <v>1882</v>
      </c>
      <c r="F704" t="s">
        <v>1660</v>
      </c>
      <c r="G704" t="s">
        <v>1661</v>
      </c>
      <c r="H704" t="s">
        <v>1662</v>
      </c>
      <c r="I704" t="s">
        <v>209</v>
      </c>
      <c r="J704" t="s">
        <v>176</v>
      </c>
      <c r="K704" s="30">
        <v>43060</v>
      </c>
      <c r="L704" s="8">
        <v>43060.569803240738</v>
      </c>
      <c r="M704" s="21">
        <f>LEN(ProjTextTable[[#This Row],[text]])</f>
        <v>3343</v>
      </c>
      <c r="N704" s="21">
        <f>LEN(TRIM(CLEAN(SUBSTITUTE(ProjTextTable[[#This Row],[text]],CHAR(10)," "))))+1 - LEN(SUBSTITUTE(CLEAN(SUBSTITUTE(ProjTextTable[[#This Row],[text]],CHAR(10)," "))," ",""))</f>
        <v>535</v>
      </c>
      <c r="O704" t="s">
        <v>195</v>
      </c>
      <c r="P704" t="s">
        <v>1893</v>
      </c>
    </row>
    <row r="705" spans="1:16">
      <c r="A705">
        <f t="shared" si="10"/>
        <v>108</v>
      </c>
      <c r="B705" t="s">
        <v>1874</v>
      </c>
      <c r="C705" t="s">
        <v>1875</v>
      </c>
      <c r="D705" t="s">
        <v>196</v>
      </c>
      <c r="E705" t="s">
        <v>1877</v>
      </c>
      <c r="F705" t="s">
        <v>13</v>
      </c>
      <c r="G705" t="s">
        <v>13</v>
      </c>
      <c r="H705" t="s">
        <v>13</v>
      </c>
      <c r="K705" s="30"/>
      <c r="L705" s="8">
        <v>42957.042500000003</v>
      </c>
      <c r="M705" s="21">
        <f>LEN(ProjTextTable[[#This Row],[text]])</f>
        <v>4289</v>
      </c>
      <c r="N705" s="21">
        <f>LEN(TRIM(CLEAN(SUBSTITUTE(ProjTextTable[[#This Row],[text]],CHAR(10)," "))))+1 - LEN(SUBSTITUTE(CLEAN(SUBSTITUTE(ProjTextTable[[#This Row],[text]],CHAR(10)," "))," ",""))</f>
        <v>657</v>
      </c>
      <c r="O705" t="s">
        <v>13</v>
      </c>
      <c r="P705" t="s">
        <v>1894</v>
      </c>
    </row>
    <row r="706" spans="1:16">
      <c r="A706">
        <f t="shared" ref="A706:A769" si="11">A705+(B706&lt;&gt;B705)</f>
        <v>109</v>
      </c>
      <c r="B706" t="s">
        <v>703</v>
      </c>
      <c r="C706" t="s">
        <v>704</v>
      </c>
      <c r="D706" t="s">
        <v>205</v>
      </c>
      <c r="E706" t="s">
        <v>543</v>
      </c>
      <c r="F706" t="s">
        <v>544</v>
      </c>
      <c r="G706" t="s">
        <v>545</v>
      </c>
      <c r="H706" t="s">
        <v>249</v>
      </c>
      <c r="I706" t="s">
        <v>193</v>
      </c>
      <c r="J706" t="s">
        <v>200</v>
      </c>
      <c r="K706" s="30">
        <v>43031</v>
      </c>
      <c r="L706" s="8"/>
      <c r="M706" s="21">
        <f>LEN(ProjTextTable[[#This Row],[text]])</f>
        <v>2426</v>
      </c>
      <c r="N706" s="21">
        <f>LEN(TRIM(CLEAN(SUBSTITUTE(ProjTextTable[[#This Row],[text]],CHAR(10)," "))))+1 - LEN(SUBSTITUTE(CLEAN(SUBSTITUTE(ProjTextTable[[#This Row],[text]],CHAR(10)," "))," ",""))</f>
        <v>361</v>
      </c>
      <c r="O706" t="s">
        <v>248</v>
      </c>
      <c r="P706" t="s">
        <v>705</v>
      </c>
    </row>
    <row r="707" spans="1:16">
      <c r="A707">
        <f t="shared" si="11"/>
        <v>109</v>
      </c>
      <c r="B707" t="s">
        <v>703</v>
      </c>
      <c r="C707" t="s">
        <v>704</v>
      </c>
      <c r="D707" t="s">
        <v>194</v>
      </c>
      <c r="E707" t="s">
        <v>543</v>
      </c>
      <c r="F707" t="s">
        <v>556</v>
      </c>
      <c r="G707" t="s">
        <v>557</v>
      </c>
      <c r="H707" t="s">
        <v>558</v>
      </c>
      <c r="I707" t="s">
        <v>209</v>
      </c>
      <c r="J707" t="s">
        <v>176</v>
      </c>
      <c r="K707" s="30">
        <v>43032</v>
      </c>
      <c r="L707" s="8">
        <v>43029.952604166669</v>
      </c>
      <c r="M707" s="21">
        <f>LEN(ProjTextTable[[#This Row],[text]])</f>
        <v>2564</v>
      </c>
      <c r="N707" s="21">
        <f>LEN(TRIM(CLEAN(SUBSTITUTE(ProjTextTable[[#This Row],[text]],CHAR(10)," "))))+1 - LEN(SUBSTITUTE(CLEAN(SUBSTITUTE(ProjTextTable[[#This Row],[text]],CHAR(10)," "))," ",""))</f>
        <v>374</v>
      </c>
      <c r="O707" t="s">
        <v>195</v>
      </c>
      <c r="P707" t="s">
        <v>706</v>
      </c>
    </row>
    <row r="708" spans="1:16">
      <c r="A708">
        <f t="shared" si="11"/>
        <v>109</v>
      </c>
      <c r="B708" t="s">
        <v>703</v>
      </c>
      <c r="C708" t="s">
        <v>704</v>
      </c>
      <c r="D708" t="s">
        <v>194</v>
      </c>
      <c r="E708" t="s">
        <v>543</v>
      </c>
      <c r="F708" t="s">
        <v>606</v>
      </c>
      <c r="G708" t="s">
        <v>607</v>
      </c>
      <c r="H708" t="s">
        <v>608</v>
      </c>
      <c r="I708" t="s">
        <v>209</v>
      </c>
      <c r="J708" t="s">
        <v>176</v>
      </c>
      <c r="K708" s="30">
        <v>43032</v>
      </c>
      <c r="L708" s="8">
        <v>43031.107453703706</v>
      </c>
      <c r="M708" s="21">
        <f>LEN(ProjTextTable[[#This Row],[text]])</f>
        <v>2410</v>
      </c>
      <c r="N708" s="21">
        <f>LEN(TRIM(CLEAN(SUBSTITUTE(ProjTextTable[[#This Row],[text]],CHAR(10)," "))))+1 - LEN(SUBSTITUTE(CLEAN(SUBSTITUTE(ProjTextTable[[#This Row],[text]],CHAR(10)," "))," ",""))</f>
        <v>358</v>
      </c>
      <c r="O708" t="s">
        <v>195</v>
      </c>
      <c r="P708" t="s">
        <v>707</v>
      </c>
    </row>
    <row r="709" spans="1:16">
      <c r="A709">
        <f t="shared" si="11"/>
        <v>109</v>
      </c>
      <c r="B709" t="s">
        <v>703</v>
      </c>
      <c r="C709" t="s">
        <v>704</v>
      </c>
      <c r="D709" t="s">
        <v>194</v>
      </c>
      <c r="E709" t="s">
        <v>543</v>
      </c>
      <c r="F709" t="s">
        <v>591</v>
      </c>
      <c r="G709" t="s">
        <v>592</v>
      </c>
      <c r="H709" t="s">
        <v>593</v>
      </c>
      <c r="I709" t="s">
        <v>209</v>
      </c>
      <c r="J709" t="s">
        <v>176</v>
      </c>
      <c r="K709" s="30">
        <v>43032</v>
      </c>
      <c r="L709" s="8">
        <v>43031.771365740744</v>
      </c>
      <c r="M709" s="21">
        <f>LEN(ProjTextTable[[#This Row],[text]])</f>
        <v>2018</v>
      </c>
      <c r="N709" s="21">
        <f>LEN(TRIM(CLEAN(SUBSTITUTE(ProjTextTable[[#This Row],[text]],CHAR(10)," "))))+1 - LEN(SUBSTITUTE(CLEAN(SUBSTITUTE(ProjTextTable[[#This Row],[text]],CHAR(10)," "))," ",""))</f>
        <v>300</v>
      </c>
      <c r="O709" t="s">
        <v>195</v>
      </c>
      <c r="P709" t="s">
        <v>708</v>
      </c>
    </row>
    <row r="710" spans="1:16">
      <c r="A710">
        <f t="shared" si="11"/>
        <v>109</v>
      </c>
      <c r="B710" t="s">
        <v>703</v>
      </c>
      <c r="C710" t="s">
        <v>704</v>
      </c>
      <c r="D710" t="s">
        <v>196</v>
      </c>
      <c r="E710" t="s">
        <v>540</v>
      </c>
      <c r="F710" t="s">
        <v>13</v>
      </c>
      <c r="G710" t="s">
        <v>13</v>
      </c>
      <c r="H710" t="s">
        <v>13</v>
      </c>
      <c r="K710" s="30"/>
      <c r="L710" s="8">
        <v>42957.042546296296</v>
      </c>
      <c r="M710" s="21">
        <f>LEN(ProjTextTable[[#This Row],[text]])</f>
        <v>4631</v>
      </c>
      <c r="N710" s="21">
        <f>LEN(TRIM(CLEAN(SUBSTITUTE(ProjTextTable[[#This Row],[text]],CHAR(10)," "))))+1 - LEN(SUBSTITUTE(CLEAN(SUBSTITUTE(ProjTextTable[[#This Row],[text]],CHAR(10)," "))," ",""))</f>
        <v>656</v>
      </c>
      <c r="O710" t="s">
        <v>13</v>
      </c>
      <c r="P710" t="s">
        <v>709</v>
      </c>
    </row>
    <row r="711" spans="1:16">
      <c r="A711">
        <f t="shared" si="11"/>
        <v>110</v>
      </c>
      <c r="B711" t="s">
        <v>1895</v>
      </c>
      <c r="C711" t="s">
        <v>1896</v>
      </c>
      <c r="D711" t="s">
        <v>205</v>
      </c>
      <c r="E711" t="s">
        <v>543</v>
      </c>
      <c r="F711" t="s">
        <v>544</v>
      </c>
      <c r="G711" t="s">
        <v>545</v>
      </c>
      <c r="H711" t="s">
        <v>245</v>
      </c>
      <c r="I711" t="s">
        <v>95</v>
      </c>
      <c r="J711" t="s">
        <v>95</v>
      </c>
      <c r="K711" s="30">
        <v>43031</v>
      </c>
      <c r="L711" s="8"/>
      <c r="M711" s="21">
        <f>LEN(ProjTextTable[[#This Row],[text]])</f>
        <v>3383</v>
      </c>
      <c r="N711" s="21">
        <f>LEN(TRIM(CLEAN(SUBSTITUTE(ProjTextTable[[#This Row],[text]],CHAR(10)," "))))+1 - LEN(SUBSTITUTE(CLEAN(SUBSTITUTE(ProjTextTable[[#This Row],[text]],CHAR(10)," "))," ",""))</f>
        <v>505</v>
      </c>
      <c r="O711" t="s">
        <v>243</v>
      </c>
      <c r="P711" t="s">
        <v>1897</v>
      </c>
    </row>
    <row r="712" spans="1:16">
      <c r="A712">
        <f t="shared" si="11"/>
        <v>110</v>
      </c>
      <c r="B712" t="s">
        <v>1895</v>
      </c>
      <c r="C712" t="s">
        <v>1896</v>
      </c>
      <c r="D712" t="s">
        <v>397</v>
      </c>
      <c r="E712" t="s">
        <v>1530</v>
      </c>
      <c r="F712" t="s">
        <v>13</v>
      </c>
      <c r="G712" t="s">
        <v>1898</v>
      </c>
      <c r="H712" t="s">
        <v>13</v>
      </c>
      <c r="I712" t="s">
        <v>13</v>
      </c>
      <c r="K712" s="30"/>
      <c r="L712" s="8">
        <v>43069.566967592589</v>
      </c>
      <c r="M712" s="21">
        <f>LEN(ProjTextTable[[#This Row],[text]])</f>
        <v>3750</v>
      </c>
      <c r="N712" s="21">
        <f>LEN(TRIM(CLEAN(SUBSTITUTE(ProjTextTable[[#This Row],[text]],CHAR(10)," "))))+1 - LEN(SUBSTITUTE(CLEAN(SUBSTITUTE(ProjTextTable[[#This Row],[text]],CHAR(10)," "))," ",""))</f>
        <v>588</v>
      </c>
      <c r="O712" t="s">
        <v>13</v>
      </c>
      <c r="P712" t="s">
        <v>1899</v>
      </c>
    </row>
    <row r="713" spans="1:16">
      <c r="A713">
        <f t="shared" si="11"/>
        <v>110</v>
      </c>
      <c r="B713" t="s">
        <v>1895</v>
      </c>
      <c r="C713" t="s">
        <v>1896</v>
      </c>
      <c r="D713" t="s">
        <v>194</v>
      </c>
      <c r="E713" t="s">
        <v>543</v>
      </c>
      <c r="F713" t="s">
        <v>572</v>
      </c>
      <c r="G713" t="s">
        <v>573</v>
      </c>
      <c r="H713" t="s">
        <v>574</v>
      </c>
      <c r="I713" t="s">
        <v>209</v>
      </c>
      <c r="J713" t="s">
        <v>176</v>
      </c>
      <c r="K713" s="30">
        <v>43032</v>
      </c>
      <c r="L713" s="8">
        <v>43030.168969907405</v>
      </c>
      <c r="M713" s="21">
        <f>LEN(ProjTextTable[[#This Row],[text]])</f>
        <v>1663</v>
      </c>
      <c r="N713" s="21">
        <f>LEN(TRIM(CLEAN(SUBSTITUTE(ProjTextTable[[#This Row],[text]],CHAR(10)," "))))+1 - LEN(SUBSTITUTE(CLEAN(SUBSTITUTE(ProjTextTable[[#This Row],[text]],CHAR(10)," "))," ",""))</f>
        <v>245</v>
      </c>
      <c r="O713" t="s">
        <v>199</v>
      </c>
      <c r="P713" t="s">
        <v>1900</v>
      </c>
    </row>
    <row r="714" spans="1:16">
      <c r="A714">
        <f t="shared" si="11"/>
        <v>110</v>
      </c>
      <c r="B714" t="s">
        <v>1895</v>
      </c>
      <c r="C714" t="s">
        <v>1896</v>
      </c>
      <c r="D714" t="s">
        <v>194</v>
      </c>
      <c r="E714" t="s">
        <v>543</v>
      </c>
      <c r="F714" t="s">
        <v>552</v>
      </c>
      <c r="G714" t="s">
        <v>553</v>
      </c>
      <c r="H714" t="s">
        <v>554</v>
      </c>
      <c r="I714" t="s">
        <v>209</v>
      </c>
      <c r="J714" t="s">
        <v>176</v>
      </c>
      <c r="K714" s="30">
        <v>43032</v>
      </c>
      <c r="L714" s="8">
        <v>43031.369733796295</v>
      </c>
      <c r="M714" s="21">
        <f>LEN(ProjTextTable[[#This Row],[text]])</f>
        <v>1591</v>
      </c>
      <c r="N714" s="21">
        <f>LEN(TRIM(CLEAN(SUBSTITUTE(ProjTextTable[[#This Row],[text]],CHAR(10)," "))))+1 - LEN(SUBSTITUTE(CLEAN(SUBSTITUTE(ProjTextTable[[#This Row],[text]],CHAR(10)," "))," ",""))</f>
        <v>257</v>
      </c>
      <c r="O714" t="s">
        <v>199</v>
      </c>
      <c r="P714" t="s">
        <v>1901</v>
      </c>
    </row>
    <row r="715" spans="1:16">
      <c r="A715">
        <f t="shared" si="11"/>
        <v>110</v>
      </c>
      <c r="B715" t="s">
        <v>1895</v>
      </c>
      <c r="C715" t="s">
        <v>1896</v>
      </c>
      <c r="D715" t="s">
        <v>194</v>
      </c>
      <c r="E715" t="s">
        <v>543</v>
      </c>
      <c r="F715" t="s">
        <v>612</v>
      </c>
      <c r="G715" t="s">
        <v>613</v>
      </c>
      <c r="H715" t="s">
        <v>614</v>
      </c>
      <c r="I715" t="s">
        <v>209</v>
      </c>
      <c r="J715" t="s">
        <v>176</v>
      </c>
      <c r="K715" s="30">
        <v>43032</v>
      </c>
      <c r="L715" s="8">
        <v>43030.807129629633</v>
      </c>
      <c r="M715" s="21">
        <f>LEN(ProjTextTable[[#This Row],[text]])</f>
        <v>1135</v>
      </c>
      <c r="N715" s="21">
        <f>LEN(TRIM(CLEAN(SUBSTITUTE(ProjTextTable[[#This Row],[text]],CHAR(10)," "))))+1 - LEN(SUBSTITUTE(CLEAN(SUBSTITUTE(ProjTextTable[[#This Row],[text]],CHAR(10)," "))," ",""))</f>
        <v>169</v>
      </c>
      <c r="O715" t="s">
        <v>199</v>
      </c>
      <c r="P715" t="s">
        <v>1902</v>
      </c>
    </row>
    <row r="716" spans="1:16">
      <c r="A716">
        <f t="shared" si="11"/>
        <v>111</v>
      </c>
      <c r="B716" t="s">
        <v>1903</v>
      </c>
      <c r="C716" t="s">
        <v>1904</v>
      </c>
      <c r="D716" t="s">
        <v>205</v>
      </c>
      <c r="E716" t="s">
        <v>543</v>
      </c>
      <c r="F716" t="s">
        <v>619</v>
      </c>
      <c r="G716" t="s">
        <v>620</v>
      </c>
      <c r="H716" t="s">
        <v>249</v>
      </c>
      <c r="I716" t="s">
        <v>193</v>
      </c>
      <c r="J716" t="s">
        <v>253</v>
      </c>
      <c r="K716" s="30">
        <v>43059</v>
      </c>
      <c r="L716" s="8"/>
      <c r="M716" s="21">
        <f>LEN(ProjTextTable[[#This Row],[text]])</f>
        <v>3491</v>
      </c>
      <c r="N716" s="21">
        <f>LEN(TRIM(CLEAN(SUBSTITUTE(ProjTextTable[[#This Row],[text]],CHAR(10)," "))))+1 - LEN(SUBSTITUTE(CLEAN(SUBSTITUTE(ProjTextTable[[#This Row],[text]],CHAR(10)," "))," ",""))</f>
        <v>510</v>
      </c>
      <c r="O716" t="s">
        <v>248</v>
      </c>
      <c r="P716" t="s">
        <v>1905</v>
      </c>
    </row>
    <row r="717" spans="1:16">
      <c r="A717">
        <f t="shared" si="11"/>
        <v>111</v>
      </c>
      <c r="B717" t="s">
        <v>1903</v>
      </c>
      <c r="C717" t="s">
        <v>1904</v>
      </c>
      <c r="D717" t="s">
        <v>205</v>
      </c>
      <c r="E717" t="s">
        <v>1488</v>
      </c>
      <c r="F717" t="s">
        <v>1906</v>
      </c>
      <c r="G717" t="s">
        <v>1907</v>
      </c>
      <c r="H717" t="s">
        <v>207</v>
      </c>
      <c r="I717" t="s">
        <v>197</v>
      </c>
      <c r="J717" t="s">
        <v>197</v>
      </c>
      <c r="K717" s="30">
        <v>43055</v>
      </c>
      <c r="L717" s="8"/>
      <c r="M717" s="21">
        <f>LEN(ProjTextTable[[#This Row],[text]])</f>
        <v>8224</v>
      </c>
      <c r="N717" s="21">
        <f>LEN(TRIM(CLEAN(SUBSTITUTE(ProjTextTable[[#This Row],[text]],CHAR(10)," "))))+1 - LEN(SUBSTITUTE(CLEAN(SUBSTITUTE(ProjTextTable[[#This Row],[text]],CHAR(10)," "))," ",""))</f>
        <v>1258</v>
      </c>
      <c r="O717" t="s">
        <v>208</v>
      </c>
      <c r="P717" t="s">
        <v>1908</v>
      </c>
    </row>
    <row r="718" spans="1:16">
      <c r="A718">
        <f t="shared" si="11"/>
        <v>111</v>
      </c>
      <c r="B718" t="s">
        <v>1903</v>
      </c>
      <c r="C718" t="s">
        <v>1904</v>
      </c>
      <c r="D718" t="s">
        <v>194</v>
      </c>
      <c r="E718" t="s">
        <v>1488</v>
      </c>
      <c r="F718" t="s">
        <v>626</v>
      </c>
      <c r="G718" t="s">
        <v>627</v>
      </c>
      <c r="H718" t="s">
        <v>628</v>
      </c>
      <c r="I718" t="s">
        <v>209</v>
      </c>
      <c r="J718" t="s">
        <v>1909</v>
      </c>
      <c r="K718" s="30">
        <v>43060</v>
      </c>
      <c r="L718" s="8">
        <v>43060.397789351853</v>
      </c>
      <c r="M718" s="21">
        <f>LEN(ProjTextTable[[#This Row],[text]])</f>
        <v>531</v>
      </c>
      <c r="N718" s="21">
        <f>LEN(TRIM(CLEAN(SUBSTITUTE(ProjTextTable[[#This Row],[text]],CHAR(10)," "))))+1 - LEN(SUBSTITUTE(CLEAN(SUBSTITUTE(ProjTextTable[[#This Row],[text]],CHAR(10)," "))," ",""))</f>
        <v>72</v>
      </c>
      <c r="O718" t="s">
        <v>176</v>
      </c>
      <c r="P718" t="s">
        <v>1910</v>
      </c>
    </row>
    <row r="719" spans="1:16">
      <c r="A719">
        <f t="shared" si="11"/>
        <v>111</v>
      </c>
      <c r="B719" t="s">
        <v>1903</v>
      </c>
      <c r="C719" t="s">
        <v>1904</v>
      </c>
      <c r="D719" t="s">
        <v>194</v>
      </c>
      <c r="E719" t="s">
        <v>1488</v>
      </c>
      <c r="F719" t="s">
        <v>630</v>
      </c>
      <c r="G719" t="s">
        <v>631</v>
      </c>
      <c r="H719" t="s">
        <v>632</v>
      </c>
      <c r="I719" t="s">
        <v>209</v>
      </c>
      <c r="J719" t="s">
        <v>176</v>
      </c>
      <c r="K719" s="30">
        <v>43060</v>
      </c>
      <c r="L719" s="8">
        <v>43054.827337962961</v>
      </c>
      <c r="M719" s="21">
        <f>LEN(ProjTextTable[[#This Row],[text]])</f>
        <v>2608</v>
      </c>
      <c r="N719" s="21">
        <f>LEN(TRIM(CLEAN(SUBSTITUTE(ProjTextTable[[#This Row],[text]],CHAR(10)," "))))+1 - LEN(SUBSTITUTE(CLEAN(SUBSTITUTE(ProjTextTable[[#This Row],[text]],CHAR(10)," "))," ",""))</f>
        <v>407</v>
      </c>
      <c r="O719" t="s">
        <v>195</v>
      </c>
      <c r="P719" t="s">
        <v>1911</v>
      </c>
    </row>
    <row r="720" spans="1:16">
      <c r="A720">
        <f t="shared" si="11"/>
        <v>111</v>
      </c>
      <c r="B720" t="s">
        <v>1903</v>
      </c>
      <c r="C720" t="s">
        <v>1904</v>
      </c>
      <c r="D720" t="s">
        <v>194</v>
      </c>
      <c r="E720" t="s">
        <v>1488</v>
      </c>
      <c r="F720" t="s">
        <v>1912</v>
      </c>
      <c r="G720" t="s">
        <v>1913</v>
      </c>
      <c r="H720" t="s">
        <v>1914</v>
      </c>
      <c r="I720" t="s">
        <v>209</v>
      </c>
      <c r="J720" t="s">
        <v>176</v>
      </c>
      <c r="K720" s="30">
        <v>43056</v>
      </c>
      <c r="L720" s="8">
        <v>43055.891493055555</v>
      </c>
      <c r="M720" s="21">
        <f>LEN(ProjTextTable[[#This Row],[text]])</f>
        <v>2468</v>
      </c>
      <c r="N720" s="21">
        <f>LEN(TRIM(CLEAN(SUBSTITUTE(ProjTextTable[[#This Row],[text]],CHAR(10)," "))))+1 - LEN(SUBSTITUTE(CLEAN(SUBSTITUTE(ProjTextTable[[#This Row],[text]],CHAR(10)," "))," ",""))</f>
        <v>370</v>
      </c>
      <c r="O720" t="s">
        <v>195</v>
      </c>
      <c r="P720" t="s">
        <v>1915</v>
      </c>
    </row>
    <row r="721" spans="1:16">
      <c r="A721">
        <f t="shared" si="11"/>
        <v>111</v>
      </c>
      <c r="B721" t="s">
        <v>1903</v>
      </c>
      <c r="C721" t="s">
        <v>1904</v>
      </c>
      <c r="D721" t="s">
        <v>194</v>
      </c>
      <c r="E721" t="s">
        <v>1488</v>
      </c>
      <c r="F721" t="s">
        <v>1916</v>
      </c>
      <c r="G721" t="s">
        <v>1917</v>
      </c>
      <c r="H721" t="s">
        <v>1918</v>
      </c>
      <c r="I721" t="s">
        <v>209</v>
      </c>
      <c r="J721" t="s">
        <v>176</v>
      </c>
      <c r="K721" s="30">
        <v>43056</v>
      </c>
      <c r="L721" s="8">
        <v>43056.450486111113</v>
      </c>
      <c r="M721" s="21">
        <f>LEN(ProjTextTable[[#This Row],[text]])</f>
        <v>2741</v>
      </c>
      <c r="N721" s="21">
        <f>LEN(TRIM(CLEAN(SUBSTITUTE(ProjTextTable[[#This Row],[text]],CHAR(10)," "))))+1 - LEN(SUBSTITUTE(CLEAN(SUBSTITUTE(ProjTextTable[[#This Row],[text]],CHAR(10)," "))," ",""))</f>
        <v>390</v>
      </c>
      <c r="O721" t="s">
        <v>199</v>
      </c>
      <c r="P721" t="s">
        <v>1919</v>
      </c>
    </row>
    <row r="722" spans="1:16">
      <c r="A722">
        <f t="shared" si="11"/>
        <v>111</v>
      </c>
      <c r="B722" t="s">
        <v>1903</v>
      </c>
      <c r="C722" t="s">
        <v>1904</v>
      </c>
      <c r="D722" t="s">
        <v>194</v>
      </c>
      <c r="E722" t="s">
        <v>1488</v>
      </c>
      <c r="F722" t="s">
        <v>1515</v>
      </c>
      <c r="G722" t="s">
        <v>1516</v>
      </c>
      <c r="H722" t="s">
        <v>1517</v>
      </c>
      <c r="I722" t="s">
        <v>209</v>
      </c>
      <c r="J722" t="s">
        <v>176</v>
      </c>
      <c r="K722" s="30">
        <v>43060</v>
      </c>
      <c r="L722" s="8">
        <v>43059.398784722223</v>
      </c>
      <c r="M722" s="21">
        <f>LEN(ProjTextTable[[#This Row],[text]])</f>
        <v>1038</v>
      </c>
      <c r="N722" s="21">
        <f>LEN(TRIM(CLEAN(SUBSTITUTE(ProjTextTable[[#This Row],[text]],CHAR(10)," "))))+1 - LEN(SUBSTITUTE(CLEAN(SUBSTITUTE(ProjTextTable[[#This Row],[text]],CHAR(10)," "))," ",""))</f>
        <v>160</v>
      </c>
      <c r="O722" t="s">
        <v>176</v>
      </c>
      <c r="P722" t="s">
        <v>1920</v>
      </c>
    </row>
    <row r="723" spans="1:16">
      <c r="A723">
        <f t="shared" si="11"/>
        <v>111</v>
      </c>
      <c r="B723" t="s">
        <v>1903</v>
      </c>
      <c r="C723" t="s">
        <v>1904</v>
      </c>
      <c r="D723" t="s">
        <v>194</v>
      </c>
      <c r="E723" t="s">
        <v>1488</v>
      </c>
      <c r="F723" t="s">
        <v>1921</v>
      </c>
      <c r="G723" t="s">
        <v>1922</v>
      </c>
      <c r="H723" t="s">
        <v>1923</v>
      </c>
      <c r="I723" t="s">
        <v>209</v>
      </c>
      <c r="J723" t="s">
        <v>176</v>
      </c>
      <c r="K723" s="30">
        <v>43056</v>
      </c>
      <c r="L723" s="8">
        <v>43055.670520833337</v>
      </c>
      <c r="M723" s="21">
        <f>LEN(ProjTextTable[[#This Row],[text]])</f>
        <v>4016</v>
      </c>
      <c r="N723" s="21">
        <f>LEN(TRIM(CLEAN(SUBSTITUTE(ProjTextTable[[#This Row],[text]],CHAR(10)," "))))+1 - LEN(SUBSTITUTE(CLEAN(SUBSTITUTE(ProjTextTable[[#This Row],[text]],CHAR(10)," "))," ",""))</f>
        <v>607</v>
      </c>
      <c r="O723" t="s">
        <v>201</v>
      </c>
      <c r="P723" t="s">
        <v>1924</v>
      </c>
    </row>
    <row r="724" spans="1:16">
      <c r="A724">
        <f t="shared" si="11"/>
        <v>111</v>
      </c>
      <c r="B724" t="s">
        <v>1903</v>
      </c>
      <c r="C724" t="s">
        <v>1904</v>
      </c>
      <c r="D724" t="s">
        <v>194</v>
      </c>
      <c r="E724" t="s">
        <v>1488</v>
      </c>
      <c r="F724" t="s">
        <v>1565</v>
      </c>
      <c r="G724" t="s">
        <v>1566</v>
      </c>
      <c r="H724" t="s">
        <v>1567</v>
      </c>
      <c r="I724" t="s">
        <v>209</v>
      </c>
      <c r="J724" t="s">
        <v>176</v>
      </c>
      <c r="K724" s="30">
        <v>43060</v>
      </c>
      <c r="L724" s="8">
        <v>43058.943298611113</v>
      </c>
      <c r="M724" s="21">
        <f>LEN(ProjTextTable[[#This Row],[text]])</f>
        <v>2545</v>
      </c>
      <c r="N724" s="21">
        <f>LEN(TRIM(CLEAN(SUBSTITUTE(ProjTextTable[[#This Row],[text]],CHAR(10)," "))))+1 - LEN(SUBSTITUTE(CLEAN(SUBSTITUTE(ProjTextTable[[#This Row],[text]],CHAR(10)," "))," ",""))</f>
        <v>377</v>
      </c>
      <c r="O724" t="s">
        <v>195</v>
      </c>
      <c r="P724" t="s">
        <v>1925</v>
      </c>
    </row>
    <row r="725" spans="1:16">
      <c r="A725">
        <f t="shared" si="11"/>
        <v>111</v>
      </c>
      <c r="B725" t="s">
        <v>1903</v>
      </c>
      <c r="C725" t="s">
        <v>1904</v>
      </c>
      <c r="D725" t="s">
        <v>194</v>
      </c>
      <c r="E725" t="s">
        <v>1488</v>
      </c>
      <c r="F725" t="s">
        <v>1926</v>
      </c>
      <c r="G725" t="s">
        <v>1198</v>
      </c>
      <c r="H725" t="s">
        <v>1927</v>
      </c>
      <c r="I725" t="s">
        <v>176</v>
      </c>
      <c r="J725" t="s">
        <v>176</v>
      </c>
      <c r="K725" s="30">
        <v>43053</v>
      </c>
      <c r="L725" s="8">
        <v>43054.411898148152</v>
      </c>
      <c r="M725" s="21">
        <f>LEN(ProjTextTable[[#This Row],[text]])</f>
        <v>3944</v>
      </c>
      <c r="N725" s="21">
        <f>LEN(TRIM(CLEAN(SUBSTITUTE(ProjTextTable[[#This Row],[text]],CHAR(10)," "))))+1 - LEN(SUBSTITUTE(CLEAN(SUBSTITUTE(ProjTextTable[[#This Row],[text]],CHAR(10)," "))," ",""))</f>
        <v>625</v>
      </c>
      <c r="O725" t="s">
        <v>195</v>
      </c>
      <c r="P725" t="s">
        <v>1928</v>
      </c>
    </row>
    <row r="726" spans="1:16">
      <c r="A726">
        <f t="shared" si="11"/>
        <v>111</v>
      </c>
      <c r="B726" t="s">
        <v>1903</v>
      </c>
      <c r="C726" t="s">
        <v>1904</v>
      </c>
      <c r="D726" t="s">
        <v>194</v>
      </c>
      <c r="E726" t="s">
        <v>1488</v>
      </c>
      <c r="F726" t="s">
        <v>1660</v>
      </c>
      <c r="G726" t="s">
        <v>1661</v>
      </c>
      <c r="H726" t="s">
        <v>1662</v>
      </c>
      <c r="I726" t="s">
        <v>209</v>
      </c>
      <c r="J726" t="s">
        <v>176</v>
      </c>
      <c r="K726" s="30">
        <v>43060</v>
      </c>
      <c r="L726" s="8">
        <v>43058.966643518521</v>
      </c>
      <c r="M726" s="21">
        <f>LEN(ProjTextTable[[#This Row],[text]])</f>
        <v>2873</v>
      </c>
      <c r="N726" s="21">
        <f>LEN(TRIM(CLEAN(SUBSTITUTE(ProjTextTable[[#This Row],[text]],CHAR(10)," "))))+1 - LEN(SUBSTITUTE(CLEAN(SUBSTITUTE(ProjTextTable[[#This Row],[text]],CHAR(10)," "))," ",""))</f>
        <v>429</v>
      </c>
      <c r="O726" t="s">
        <v>195</v>
      </c>
      <c r="P726" t="s">
        <v>1929</v>
      </c>
    </row>
    <row r="727" spans="1:16">
      <c r="A727">
        <f t="shared" si="11"/>
        <v>111</v>
      </c>
      <c r="B727" t="s">
        <v>1903</v>
      </c>
      <c r="C727" t="s">
        <v>1904</v>
      </c>
      <c r="D727" t="s">
        <v>196</v>
      </c>
      <c r="E727" t="s">
        <v>1488</v>
      </c>
      <c r="F727" t="s">
        <v>13</v>
      </c>
      <c r="G727" t="s">
        <v>13</v>
      </c>
      <c r="H727" t="s">
        <v>13</v>
      </c>
      <c r="K727" s="30"/>
      <c r="L727" s="8">
        <v>42957.042731481481</v>
      </c>
      <c r="M727" s="21">
        <f>LEN(ProjTextTable[[#This Row],[text]])</f>
        <v>2775</v>
      </c>
      <c r="N727" s="21">
        <f>LEN(TRIM(CLEAN(SUBSTITUTE(ProjTextTable[[#This Row],[text]],CHAR(10)," "))))+1 - LEN(SUBSTITUTE(CLEAN(SUBSTITUTE(ProjTextTable[[#This Row],[text]],CHAR(10)," "))," ",""))</f>
        <v>375</v>
      </c>
      <c r="O727" t="s">
        <v>13</v>
      </c>
      <c r="P727" t="s">
        <v>1930</v>
      </c>
    </row>
    <row r="728" spans="1:16">
      <c r="A728">
        <f t="shared" si="11"/>
        <v>112</v>
      </c>
      <c r="B728" t="s">
        <v>710</v>
      </c>
      <c r="C728" t="s">
        <v>348</v>
      </c>
      <c r="D728" t="s">
        <v>205</v>
      </c>
      <c r="E728" t="s">
        <v>543</v>
      </c>
      <c r="F728" t="s">
        <v>544</v>
      </c>
      <c r="G728" t="s">
        <v>545</v>
      </c>
      <c r="H728" t="s">
        <v>207</v>
      </c>
      <c r="I728" t="s">
        <v>197</v>
      </c>
      <c r="J728" t="s">
        <v>197</v>
      </c>
      <c r="K728" s="30">
        <v>43031</v>
      </c>
      <c r="L728" s="8"/>
      <c r="M728" s="21">
        <f>LEN(ProjTextTable[[#This Row],[text]])</f>
        <v>2371</v>
      </c>
      <c r="N728" s="21">
        <f>LEN(TRIM(CLEAN(SUBSTITUTE(ProjTextTable[[#This Row],[text]],CHAR(10)," "))))+1 - LEN(SUBSTITUTE(CLEAN(SUBSTITUTE(ProjTextTable[[#This Row],[text]],CHAR(10)," "))," ",""))</f>
        <v>361</v>
      </c>
      <c r="O728" t="s">
        <v>208</v>
      </c>
      <c r="P728" t="s">
        <v>711</v>
      </c>
    </row>
    <row r="729" spans="1:16">
      <c r="A729">
        <f t="shared" si="11"/>
        <v>112</v>
      </c>
      <c r="B729" t="s">
        <v>710</v>
      </c>
      <c r="C729" t="s">
        <v>348</v>
      </c>
      <c r="D729" t="s">
        <v>194</v>
      </c>
      <c r="E729" t="s">
        <v>543</v>
      </c>
      <c r="F729" t="s">
        <v>548</v>
      </c>
      <c r="G729" t="s">
        <v>549</v>
      </c>
      <c r="H729" t="s">
        <v>550</v>
      </c>
      <c r="I729" t="s">
        <v>209</v>
      </c>
      <c r="J729" t="s">
        <v>176</v>
      </c>
      <c r="K729" s="30">
        <v>43032</v>
      </c>
      <c r="L729" s="8">
        <v>43031.767731481479</v>
      </c>
      <c r="M729" s="21">
        <f>LEN(ProjTextTable[[#This Row],[text]])</f>
        <v>3988</v>
      </c>
      <c r="N729" s="21">
        <f>LEN(TRIM(CLEAN(SUBSTITUTE(ProjTextTable[[#This Row],[text]],CHAR(10)," "))))+1 - LEN(SUBSTITUTE(CLEAN(SUBSTITUTE(ProjTextTable[[#This Row],[text]],CHAR(10)," "))," ",""))</f>
        <v>620</v>
      </c>
      <c r="O729" t="s">
        <v>202</v>
      </c>
      <c r="P729" t="s">
        <v>712</v>
      </c>
    </row>
    <row r="730" spans="1:16">
      <c r="A730">
        <f t="shared" si="11"/>
        <v>112</v>
      </c>
      <c r="B730" t="s">
        <v>710</v>
      </c>
      <c r="C730" t="s">
        <v>348</v>
      </c>
      <c r="D730" t="s">
        <v>194</v>
      </c>
      <c r="E730" t="s">
        <v>543</v>
      </c>
      <c r="F730" t="s">
        <v>606</v>
      </c>
      <c r="G730" t="s">
        <v>607</v>
      </c>
      <c r="H730" t="s">
        <v>608</v>
      </c>
      <c r="I730" t="s">
        <v>209</v>
      </c>
      <c r="J730" t="s">
        <v>176</v>
      </c>
      <c r="K730" s="30">
        <v>43032</v>
      </c>
      <c r="L730" s="8">
        <v>43031.147233796299</v>
      </c>
      <c r="M730" s="21">
        <f>LEN(ProjTextTable[[#This Row],[text]])</f>
        <v>1088</v>
      </c>
      <c r="N730" s="21">
        <f>LEN(TRIM(CLEAN(SUBSTITUTE(ProjTextTable[[#This Row],[text]],CHAR(10)," "))))+1 - LEN(SUBSTITUTE(CLEAN(SUBSTITUTE(ProjTextTable[[#This Row],[text]],CHAR(10)," "))," ",""))</f>
        <v>154</v>
      </c>
      <c r="O730" t="s">
        <v>199</v>
      </c>
      <c r="P730" t="s">
        <v>713</v>
      </c>
    </row>
    <row r="731" spans="1:16">
      <c r="A731">
        <f t="shared" si="11"/>
        <v>112</v>
      </c>
      <c r="B731" t="s">
        <v>710</v>
      </c>
      <c r="C731" t="s">
        <v>348</v>
      </c>
      <c r="D731" t="s">
        <v>194</v>
      </c>
      <c r="E731" t="s">
        <v>543</v>
      </c>
      <c r="F731" t="s">
        <v>580</v>
      </c>
      <c r="G731" t="s">
        <v>581</v>
      </c>
      <c r="H731" t="s">
        <v>582</v>
      </c>
      <c r="I731" t="s">
        <v>209</v>
      </c>
      <c r="J731" t="s">
        <v>176</v>
      </c>
      <c r="K731" s="30">
        <v>43032</v>
      </c>
      <c r="L731" s="8">
        <v>43031.020694444444</v>
      </c>
      <c r="M731" s="21">
        <f>LEN(ProjTextTable[[#This Row],[text]])</f>
        <v>2238</v>
      </c>
      <c r="N731" s="21">
        <f>LEN(TRIM(CLEAN(SUBSTITUTE(ProjTextTable[[#This Row],[text]],CHAR(10)," "))))+1 - LEN(SUBSTITUTE(CLEAN(SUBSTITUTE(ProjTextTable[[#This Row],[text]],CHAR(10)," "))," ",""))</f>
        <v>333</v>
      </c>
      <c r="O731" t="s">
        <v>202</v>
      </c>
      <c r="P731" t="s">
        <v>714</v>
      </c>
    </row>
    <row r="732" spans="1:16">
      <c r="A732">
        <f t="shared" si="11"/>
        <v>112</v>
      </c>
      <c r="B732" t="s">
        <v>710</v>
      </c>
      <c r="C732" t="s">
        <v>348</v>
      </c>
      <c r="D732" t="s">
        <v>196</v>
      </c>
      <c r="E732" t="s">
        <v>543</v>
      </c>
      <c r="F732" t="s">
        <v>13</v>
      </c>
      <c r="G732" t="s">
        <v>13</v>
      </c>
      <c r="H732" t="s">
        <v>13</v>
      </c>
      <c r="K732" s="30"/>
      <c r="L732" s="8">
        <v>42957.042812500003</v>
      </c>
      <c r="M732" s="21">
        <f>LEN(ProjTextTable[[#This Row],[text]])</f>
        <v>2797</v>
      </c>
      <c r="N732" s="21">
        <f>LEN(TRIM(CLEAN(SUBSTITUTE(ProjTextTable[[#This Row],[text]],CHAR(10)," "))))+1 - LEN(SUBSTITUTE(CLEAN(SUBSTITUTE(ProjTextTable[[#This Row],[text]],CHAR(10)," "))," ",""))</f>
        <v>393</v>
      </c>
      <c r="O732" t="s">
        <v>13</v>
      </c>
      <c r="P732" t="s">
        <v>715</v>
      </c>
    </row>
    <row r="733" spans="1:16">
      <c r="A733">
        <f t="shared" si="11"/>
        <v>113</v>
      </c>
      <c r="B733" t="s">
        <v>716</v>
      </c>
      <c r="C733" t="s">
        <v>717</v>
      </c>
      <c r="D733" t="s">
        <v>205</v>
      </c>
      <c r="E733" t="s">
        <v>543</v>
      </c>
      <c r="F733" t="s">
        <v>544</v>
      </c>
      <c r="G733" t="s">
        <v>545</v>
      </c>
      <c r="H733" t="s">
        <v>365</v>
      </c>
      <c r="I733" t="s">
        <v>200</v>
      </c>
      <c r="J733" t="s">
        <v>253</v>
      </c>
      <c r="K733" s="30">
        <v>43031</v>
      </c>
      <c r="L733" s="8"/>
      <c r="M733" s="21">
        <f>LEN(ProjTextTable[[#This Row],[text]])</f>
        <v>3554</v>
      </c>
      <c r="N733" s="21">
        <f>LEN(TRIM(CLEAN(SUBSTITUTE(ProjTextTable[[#This Row],[text]],CHAR(10)," "))))+1 - LEN(SUBSTITUTE(CLEAN(SUBSTITUTE(ProjTextTable[[#This Row],[text]],CHAR(10)," "))," ",""))</f>
        <v>563</v>
      </c>
      <c r="O733" t="s">
        <v>344</v>
      </c>
      <c r="P733" t="s">
        <v>718</v>
      </c>
    </row>
    <row r="734" spans="1:16">
      <c r="A734">
        <f t="shared" si="11"/>
        <v>113</v>
      </c>
      <c r="B734" t="s">
        <v>716</v>
      </c>
      <c r="C734" t="s">
        <v>717</v>
      </c>
      <c r="D734" t="s">
        <v>194</v>
      </c>
      <c r="E734" t="s">
        <v>543</v>
      </c>
      <c r="F734" t="s">
        <v>650</v>
      </c>
      <c r="G734" t="s">
        <v>651</v>
      </c>
      <c r="H734" t="s">
        <v>652</v>
      </c>
      <c r="I734" t="s">
        <v>209</v>
      </c>
      <c r="J734" t="s">
        <v>176</v>
      </c>
      <c r="K734" s="30">
        <v>43032</v>
      </c>
      <c r="L734" s="8">
        <v>43030.886724537035</v>
      </c>
      <c r="M734" s="21">
        <f>LEN(ProjTextTable[[#This Row],[text]])</f>
        <v>2250</v>
      </c>
      <c r="N734" s="21">
        <f>LEN(TRIM(CLEAN(SUBSTITUTE(ProjTextTable[[#This Row],[text]],CHAR(10)," "))))+1 - LEN(SUBSTITUTE(CLEAN(SUBSTITUTE(ProjTextTable[[#This Row],[text]],CHAR(10)," "))," ",""))</f>
        <v>331</v>
      </c>
      <c r="O734" t="s">
        <v>195</v>
      </c>
      <c r="P734" t="s">
        <v>719</v>
      </c>
    </row>
    <row r="735" spans="1:16">
      <c r="A735">
        <f t="shared" si="11"/>
        <v>113</v>
      </c>
      <c r="B735" t="s">
        <v>716</v>
      </c>
      <c r="C735" t="s">
        <v>717</v>
      </c>
      <c r="D735" t="s">
        <v>194</v>
      </c>
      <c r="E735" t="s">
        <v>543</v>
      </c>
      <c r="F735" t="s">
        <v>548</v>
      </c>
      <c r="G735" t="s">
        <v>549</v>
      </c>
      <c r="H735" t="s">
        <v>550</v>
      </c>
      <c r="I735" t="s">
        <v>209</v>
      </c>
      <c r="J735" t="s">
        <v>176</v>
      </c>
      <c r="K735" s="30">
        <v>43032</v>
      </c>
      <c r="L735" s="8">
        <v>43025.633287037039</v>
      </c>
      <c r="M735" s="21">
        <f>LEN(ProjTextTable[[#This Row],[text]])</f>
        <v>2071</v>
      </c>
      <c r="N735" s="21">
        <f>LEN(TRIM(CLEAN(SUBSTITUTE(ProjTextTable[[#This Row],[text]],CHAR(10)," "))))+1 - LEN(SUBSTITUTE(CLEAN(SUBSTITUTE(ProjTextTable[[#This Row],[text]],CHAR(10)," "))," ",""))</f>
        <v>314</v>
      </c>
      <c r="O735" t="s">
        <v>198</v>
      </c>
      <c r="P735" t="s">
        <v>720</v>
      </c>
    </row>
    <row r="736" spans="1:16">
      <c r="A736">
        <f t="shared" si="11"/>
        <v>113</v>
      </c>
      <c r="B736" t="s">
        <v>716</v>
      </c>
      <c r="C736" t="s">
        <v>717</v>
      </c>
      <c r="D736" t="s">
        <v>194</v>
      </c>
      <c r="E736" t="s">
        <v>543</v>
      </c>
      <c r="F736" t="s">
        <v>576</v>
      </c>
      <c r="G736" t="s">
        <v>577</v>
      </c>
      <c r="H736" t="s">
        <v>578</v>
      </c>
      <c r="I736" t="s">
        <v>209</v>
      </c>
      <c r="J736" t="s">
        <v>176</v>
      </c>
      <c r="K736" s="30">
        <v>43032</v>
      </c>
      <c r="L736" s="8">
        <v>43031.742314814815</v>
      </c>
      <c r="M736" s="21">
        <f>LEN(ProjTextTable[[#This Row],[text]])</f>
        <v>1610</v>
      </c>
      <c r="N736" s="21">
        <f>LEN(TRIM(CLEAN(SUBSTITUTE(ProjTextTable[[#This Row],[text]],CHAR(10)," "))))+1 - LEN(SUBSTITUTE(CLEAN(SUBSTITUTE(ProjTextTable[[#This Row],[text]],CHAR(10)," "))," ",""))</f>
        <v>237</v>
      </c>
      <c r="O736" t="s">
        <v>201</v>
      </c>
      <c r="P736" t="s">
        <v>721</v>
      </c>
    </row>
    <row r="737" spans="1:16">
      <c r="A737">
        <f t="shared" si="11"/>
        <v>113</v>
      </c>
      <c r="B737" t="s">
        <v>716</v>
      </c>
      <c r="C737" t="s">
        <v>717</v>
      </c>
      <c r="D737" t="s">
        <v>196</v>
      </c>
      <c r="E737" t="s">
        <v>540</v>
      </c>
      <c r="F737" t="s">
        <v>13</v>
      </c>
      <c r="G737" t="s">
        <v>13</v>
      </c>
      <c r="H737" t="s">
        <v>13</v>
      </c>
      <c r="K737" s="30"/>
      <c r="L737" s="8">
        <v>42957.042870370373</v>
      </c>
      <c r="M737" s="21">
        <f>LEN(ProjTextTable[[#This Row],[text]])</f>
        <v>4426</v>
      </c>
      <c r="N737" s="21">
        <f>LEN(TRIM(CLEAN(SUBSTITUTE(ProjTextTable[[#This Row],[text]],CHAR(10)," "))))+1 - LEN(SUBSTITUTE(CLEAN(SUBSTITUTE(ProjTextTable[[#This Row],[text]],CHAR(10)," "))," ",""))</f>
        <v>577</v>
      </c>
      <c r="O737" t="s">
        <v>13</v>
      </c>
      <c r="P737" t="s">
        <v>722</v>
      </c>
    </row>
    <row r="738" spans="1:16">
      <c r="A738">
        <f t="shared" si="11"/>
        <v>114</v>
      </c>
      <c r="B738" t="s">
        <v>1931</v>
      </c>
      <c r="C738" t="s">
        <v>1932</v>
      </c>
      <c r="D738" t="s">
        <v>205</v>
      </c>
      <c r="E738" t="s">
        <v>543</v>
      </c>
      <c r="F738" t="s">
        <v>619</v>
      </c>
      <c r="G738" t="s">
        <v>620</v>
      </c>
      <c r="H738" t="s">
        <v>249</v>
      </c>
      <c r="I738" t="s">
        <v>193</v>
      </c>
      <c r="J738" t="s">
        <v>253</v>
      </c>
      <c r="K738" s="30">
        <v>43059</v>
      </c>
      <c r="L738" s="8"/>
      <c r="M738" s="21">
        <f>LEN(ProjTextTable[[#This Row],[text]])</f>
        <v>1859</v>
      </c>
      <c r="N738" s="21">
        <f>LEN(TRIM(CLEAN(SUBSTITUTE(ProjTextTable[[#This Row],[text]],CHAR(10)," "))))+1 - LEN(SUBSTITUTE(CLEAN(SUBSTITUTE(ProjTextTable[[#This Row],[text]],CHAR(10)," "))," ",""))</f>
        <v>279</v>
      </c>
      <c r="O738" t="s">
        <v>248</v>
      </c>
      <c r="P738" t="s">
        <v>1933</v>
      </c>
    </row>
    <row r="739" spans="1:16">
      <c r="A739">
        <f t="shared" si="11"/>
        <v>114</v>
      </c>
      <c r="B739" t="s">
        <v>1931</v>
      </c>
      <c r="C739" t="s">
        <v>1932</v>
      </c>
      <c r="D739" t="s">
        <v>194</v>
      </c>
      <c r="E739" t="s">
        <v>543</v>
      </c>
      <c r="F739" t="s">
        <v>1579</v>
      </c>
      <c r="G739" t="s">
        <v>1580</v>
      </c>
      <c r="H739" t="s">
        <v>1581</v>
      </c>
      <c r="I739" t="s">
        <v>209</v>
      </c>
      <c r="J739" t="s">
        <v>176</v>
      </c>
      <c r="K739" s="30">
        <v>43060</v>
      </c>
      <c r="L739" s="8">
        <v>43056.633599537039</v>
      </c>
      <c r="M739" s="21">
        <f>LEN(ProjTextTable[[#This Row],[text]])</f>
        <v>3570</v>
      </c>
      <c r="N739" s="21">
        <f>LEN(TRIM(CLEAN(SUBSTITUTE(ProjTextTable[[#This Row],[text]],CHAR(10)," "))))+1 - LEN(SUBSTITUTE(CLEAN(SUBSTITUTE(ProjTextTable[[#This Row],[text]],CHAR(10)," "))," ",""))</f>
        <v>569</v>
      </c>
      <c r="O739" t="s">
        <v>195</v>
      </c>
      <c r="P739" t="s">
        <v>1934</v>
      </c>
    </row>
    <row r="740" spans="1:16">
      <c r="A740">
        <f t="shared" si="11"/>
        <v>114</v>
      </c>
      <c r="B740" t="s">
        <v>1931</v>
      </c>
      <c r="C740" t="s">
        <v>1932</v>
      </c>
      <c r="D740" t="s">
        <v>194</v>
      </c>
      <c r="E740" t="s">
        <v>543</v>
      </c>
      <c r="F740" t="s">
        <v>626</v>
      </c>
      <c r="G740" t="s">
        <v>627</v>
      </c>
      <c r="H740" t="s">
        <v>628</v>
      </c>
      <c r="I740" t="s">
        <v>209</v>
      </c>
      <c r="J740" t="s">
        <v>176</v>
      </c>
      <c r="K740" s="30">
        <v>43060</v>
      </c>
      <c r="L740" s="8">
        <v>43059.231377314813</v>
      </c>
      <c r="M740" s="21">
        <f>LEN(ProjTextTable[[#This Row],[text]])</f>
        <v>1366</v>
      </c>
      <c r="N740" s="21">
        <f>LEN(TRIM(CLEAN(SUBSTITUTE(ProjTextTable[[#This Row],[text]],CHAR(10)," "))))+1 - LEN(SUBSTITUTE(CLEAN(SUBSTITUTE(ProjTextTable[[#This Row],[text]],CHAR(10)," "))," ",""))</f>
        <v>195</v>
      </c>
      <c r="O740" t="s">
        <v>199</v>
      </c>
      <c r="P740" t="s">
        <v>1935</v>
      </c>
    </row>
    <row r="741" spans="1:16">
      <c r="A741">
        <f t="shared" si="11"/>
        <v>114</v>
      </c>
      <c r="B741" t="s">
        <v>1931</v>
      </c>
      <c r="C741" t="s">
        <v>1932</v>
      </c>
      <c r="D741" t="s">
        <v>194</v>
      </c>
      <c r="E741" t="s">
        <v>543</v>
      </c>
      <c r="F741" t="s">
        <v>1733</v>
      </c>
      <c r="G741" t="s">
        <v>1734</v>
      </c>
      <c r="H741" t="s">
        <v>1735</v>
      </c>
      <c r="I741" t="s">
        <v>209</v>
      </c>
      <c r="J741" t="s">
        <v>176</v>
      </c>
      <c r="K741" s="30">
        <v>43060</v>
      </c>
      <c r="L741" s="8">
        <v>43058.043298611112</v>
      </c>
      <c r="M741" s="21">
        <f>LEN(ProjTextTable[[#This Row],[text]])</f>
        <v>2059</v>
      </c>
      <c r="N741" s="21">
        <f>LEN(TRIM(CLEAN(SUBSTITUTE(ProjTextTable[[#This Row],[text]],CHAR(10)," "))))+1 - LEN(SUBSTITUTE(CLEAN(SUBSTITUTE(ProjTextTable[[#This Row],[text]],CHAR(10)," "))," ",""))</f>
        <v>304</v>
      </c>
      <c r="O741" t="s">
        <v>195</v>
      </c>
      <c r="P741" t="s">
        <v>1936</v>
      </c>
    </row>
    <row r="742" spans="1:16">
      <c r="A742">
        <f t="shared" si="11"/>
        <v>114</v>
      </c>
      <c r="B742" t="s">
        <v>1931</v>
      </c>
      <c r="C742" t="s">
        <v>1932</v>
      </c>
      <c r="D742" t="s">
        <v>196</v>
      </c>
      <c r="E742" t="s">
        <v>543</v>
      </c>
      <c r="F742" t="s">
        <v>13</v>
      </c>
      <c r="G742" t="s">
        <v>13</v>
      </c>
      <c r="H742" t="s">
        <v>13</v>
      </c>
      <c r="K742" s="30"/>
      <c r="L742" s="8">
        <v>42957.042881944442</v>
      </c>
      <c r="M742" s="21">
        <f>LEN(ProjTextTable[[#This Row],[text]])</f>
        <v>3662</v>
      </c>
      <c r="N742" s="21">
        <f>LEN(TRIM(CLEAN(SUBSTITUTE(ProjTextTable[[#This Row],[text]],CHAR(10)," "))))+1 - LEN(SUBSTITUTE(CLEAN(SUBSTITUTE(ProjTextTable[[#This Row],[text]],CHAR(10)," "))," ",""))</f>
        <v>510</v>
      </c>
      <c r="O742" t="s">
        <v>13</v>
      </c>
      <c r="P742" t="s">
        <v>1937</v>
      </c>
    </row>
    <row r="743" spans="1:16">
      <c r="A743">
        <f t="shared" si="11"/>
        <v>115</v>
      </c>
      <c r="B743" t="s">
        <v>1938</v>
      </c>
      <c r="C743" t="s">
        <v>1939</v>
      </c>
      <c r="D743" t="s">
        <v>205</v>
      </c>
      <c r="E743" t="s">
        <v>543</v>
      </c>
      <c r="F743" t="s">
        <v>619</v>
      </c>
      <c r="G743" t="s">
        <v>620</v>
      </c>
      <c r="H743" t="s">
        <v>245</v>
      </c>
      <c r="I743" t="s">
        <v>95</v>
      </c>
      <c r="J743" t="s">
        <v>95</v>
      </c>
      <c r="K743" s="30">
        <v>43059</v>
      </c>
      <c r="L743" s="8"/>
      <c r="M743" s="21">
        <f>LEN(ProjTextTable[[#This Row],[text]])</f>
        <v>1408</v>
      </c>
      <c r="N743" s="21">
        <f>LEN(TRIM(CLEAN(SUBSTITUTE(ProjTextTable[[#This Row],[text]],CHAR(10)," "))))+1 - LEN(SUBSTITUTE(CLEAN(SUBSTITUTE(ProjTextTable[[#This Row],[text]],CHAR(10)," "))," ",""))</f>
        <v>207</v>
      </c>
      <c r="O743" t="s">
        <v>243</v>
      </c>
      <c r="P743" t="s">
        <v>1940</v>
      </c>
    </row>
    <row r="744" spans="1:16">
      <c r="A744">
        <f t="shared" si="11"/>
        <v>115</v>
      </c>
      <c r="B744" t="s">
        <v>1938</v>
      </c>
      <c r="C744" t="s">
        <v>1939</v>
      </c>
      <c r="D744" t="s">
        <v>194</v>
      </c>
      <c r="E744" t="s">
        <v>543</v>
      </c>
      <c r="F744" t="s">
        <v>1552</v>
      </c>
      <c r="G744" t="s">
        <v>1553</v>
      </c>
      <c r="H744" t="s">
        <v>1554</v>
      </c>
      <c r="I744" t="s">
        <v>209</v>
      </c>
      <c r="J744" t="s">
        <v>176</v>
      </c>
      <c r="K744" s="30">
        <v>43060</v>
      </c>
      <c r="L744" s="8">
        <v>43060.396203703705</v>
      </c>
      <c r="M744" s="21">
        <f>LEN(ProjTextTable[[#This Row],[text]])</f>
        <v>1508</v>
      </c>
      <c r="N744" s="21">
        <f>LEN(TRIM(CLEAN(SUBSTITUTE(ProjTextTable[[#This Row],[text]],CHAR(10)," "))))+1 - LEN(SUBSTITUTE(CLEAN(SUBSTITUTE(ProjTextTable[[#This Row],[text]],CHAR(10)," "))," ",""))</f>
        <v>224</v>
      </c>
      <c r="O744" t="s">
        <v>251</v>
      </c>
      <c r="P744" t="s">
        <v>1941</v>
      </c>
    </row>
    <row r="745" spans="1:16">
      <c r="A745">
        <f t="shared" si="11"/>
        <v>115</v>
      </c>
      <c r="B745" t="s">
        <v>1938</v>
      </c>
      <c r="C745" t="s">
        <v>1939</v>
      </c>
      <c r="D745" t="s">
        <v>194</v>
      </c>
      <c r="E745" t="s">
        <v>543</v>
      </c>
      <c r="F745" t="s">
        <v>1565</v>
      </c>
      <c r="G745" t="s">
        <v>1566</v>
      </c>
      <c r="H745" t="s">
        <v>1567</v>
      </c>
      <c r="I745" t="s">
        <v>209</v>
      </c>
      <c r="J745" t="s">
        <v>176</v>
      </c>
      <c r="K745" s="30">
        <v>43060</v>
      </c>
      <c r="L745" s="8">
        <v>43058.906793981485</v>
      </c>
      <c r="M745" s="21">
        <f>LEN(ProjTextTable[[#This Row],[text]])</f>
        <v>1783</v>
      </c>
      <c r="N745" s="21">
        <f>LEN(TRIM(CLEAN(SUBSTITUTE(ProjTextTable[[#This Row],[text]],CHAR(10)," "))))+1 - LEN(SUBSTITUTE(CLEAN(SUBSTITUTE(ProjTextTable[[#This Row],[text]],CHAR(10)," "))," ",""))</f>
        <v>248</v>
      </c>
      <c r="O745" t="s">
        <v>251</v>
      </c>
      <c r="P745" t="s">
        <v>1942</v>
      </c>
    </row>
    <row r="746" spans="1:16">
      <c r="A746">
        <f t="shared" si="11"/>
        <v>115</v>
      </c>
      <c r="B746" t="s">
        <v>1938</v>
      </c>
      <c r="C746" t="s">
        <v>1939</v>
      </c>
      <c r="D746" t="s">
        <v>194</v>
      </c>
      <c r="E746" t="s">
        <v>543</v>
      </c>
      <c r="F746" t="s">
        <v>1556</v>
      </c>
      <c r="G746" t="s">
        <v>1557</v>
      </c>
      <c r="H746" t="s">
        <v>1558</v>
      </c>
      <c r="I746" t="s">
        <v>209</v>
      </c>
      <c r="J746" t="s">
        <v>176</v>
      </c>
      <c r="K746" s="30">
        <v>43060</v>
      </c>
      <c r="L746" s="8">
        <v>43057.490289351852</v>
      </c>
      <c r="M746" s="21">
        <f>LEN(ProjTextTable[[#This Row],[text]])</f>
        <v>1538</v>
      </c>
      <c r="N746" s="21">
        <f>LEN(TRIM(CLEAN(SUBSTITUTE(ProjTextTable[[#This Row],[text]],CHAR(10)," "))))+1 - LEN(SUBSTITUTE(CLEAN(SUBSTITUTE(ProjTextTable[[#This Row],[text]],CHAR(10)," "))," ",""))</f>
        <v>224</v>
      </c>
      <c r="O746" t="s">
        <v>198</v>
      </c>
      <c r="P746" t="s">
        <v>1943</v>
      </c>
    </row>
    <row r="747" spans="1:16">
      <c r="A747">
        <f t="shared" si="11"/>
        <v>115</v>
      </c>
      <c r="B747" t="s">
        <v>1938</v>
      </c>
      <c r="C747" t="s">
        <v>1939</v>
      </c>
      <c r="D747" t="s">
        <v>196</v>
      </c>
      <c r="E747" t="s">
        <v>543</v>
      </c>
      <c r="F747" t="s">
        <v>13</v>
      </c>
      <c r="G747" t="s">
        <v>13</v>
      </c>
      <c r="H747" t="s">
        <v>13</v>
      </c>
      <c r="K747" s="30"/>
      <c r="L747" s="8">
        <v>42957.042951388888</v>
      </c>
      <c r="M747" s="21">
        <f>LEN(ProjTextTable[[#This Row],[text]])</f>
        <v>3667</v>
      </c>
      <c r="N747" s="21">
        <f>LEN(TRIM(CLEAN(SUBSTITUTE(ProjTextTable[[#This Row],[text]],CHAR(10)," "))))+1 - LEN(SUBSTITUTE(CLEAN(SUBSTITUTE(ProjTextTable[[#This Row],[text]],CHAR(10)," "))," ",""))</f>
        <v>501</v>
      </c>
      <c r="O747" t="s">
        <v>13</v>
      </c>
      <c r="P747" t="s">
        <v>1944</v>
      </c>
    </row>
    <row r="748" spans="1:16">
      <c r="A748">
        <f t="shared" si="11"/>
        <v>116</v>
      </c>
      <c r="B748" t="s">
        <v>1945</v>
      </c>
      <c r="C748" t="s">
        <v>1946</v>
      </c>
      <c r="D748" t="s">
        <v>205</v>
      </c>
      <c r="E748" t="s">
        <v>543</v>
      </c>
      <c r="F748" t="s">
        <v>619</v>
      </c>
      <c r="G748" t="s">
        <v>620</v>
      </c>
      <c r="H748" t="s">
        <v>249</v>
      </c>
      <c r="I748" t="s">
        <v>193</v>
      </c>
      <c r="J748" t="s">
        <v>253</v>
      </c>
      <c r="K748" s="30">
        <v>43059</v>
      </c>
      <c r="L748" s="8"/>
      <c r="M748" s="21">
        <f>LEN(ProjTextTable[[#This Row],[text]])</f>
        <v>3012</v>
      </c>
      <c r="N748" s="21">
        <f>LEN(TRIM(CLEAN(SUBSTITUTE(ProjTextTable[[#This Row],[text]],CHAR(10)," "))))+1 - LEN(SUBSTITUTE(CLEAN(SUBSTITUTE(ProjTextTable[[#This Row],[text]],CHAR(10)," "))," ",""))</f>
        <v>439</v>
      </c>
      <c r="O748" t="s">
        <v>248</v>
      </c>
      <c r="P748" t="s">
        <v>1947</v>
      </c>
    </row>
    <row r="749" spans="1:16">
      <c r="A749">
        <f t="shared" si="11"/>
        <v>116</v>
      </c>
      <c r="B749" t="s">
        <v>1945</v>
      </c>
      <c r="C749" t="s">
        <v>1946</v>
      </c>
      <c r="D749" t="s">
        <v>194</v>
      </c>
      <c r="E749" t="s">
        <v>543</v>
      </c>
      <c r="F749" t="s">
        <v>1733</v>
      </c>
      <c r="G749" t="s">
        <v>1734</v>
      </c>
      <c r="H749" t="s">
        <v>1735</v>
      </c>
      <c r="I749" t="s">
        <v>209</v>
      </c>
      <c r="J749" t="s">
        <v>176</v>
      </c>
      <c r="K749" s="30">
        <v>43060</v>
      </c>
      <c r="L749" s="8">
        <v>43054.490324074075</v>
      </c>
      <c r="M749" s="21">
        <f>LEN(ProjTextTable[[#This Row],[text]])</f>
        <v>1664</v>
      </c>
      <c r="N749" s="21">
        <f>LEN(TRIM(CLEAN(SUBSTITUTE(ProjTextTable[[#This Row],[text]],CHAR(10)," "))))+1 - LEN(SUBSTITUTE(CLEAN(SUBSTITUTE(ProjTextTable[[#This Row],[text]],CHAR(10)," "))," ",""))</f>
        <v>250</v>
      </c>
      <c r="O749" t="s">
        <v>203</v>
      </c>
      <c r="P749" t="s">
        <v>1948</v>
      </c>
    </row>
    <row r="750" spans="1:16">
      <c r="A750">
        <f t="shared" si="11"/>
        <v>116</v>
      </c>
      <c r="B750" t="s">
        <v>1945</v>
      </c>
      <c r="C750" t="s">
        <v>1946</v>
      </c>
      <c r="D750" t="s">
        <v>194</v>
      </c>
      <c r="E750" t="s">
        <v>543</v>
      </c>
      <c r="F750" t="s">
        <v>634</v>
      </c>
      <c r="G750" t="s">
        <v>635</v>
      </c>
      <c r="H750" t="s">
        <v>636</v>
      </c>
      <c r="I750" t="s">
        <v>209</v>
      </c>
      <c r="J750" t="s">
        <v>176</v>
      </c>
      <c r="K750" s="30">
        <v>43060</v>
      </c>
      <c r="L750" s="8">
        <v>43057.351238425923</v>
      </c>
      <c r="M750" s="21">
        <f>LEN(ProjTextTable[[#This Row],[text]])</f>
        <v>4714</v>
      </c>
      <c r="N750" s="21">
        <f>LEN(TRIM(CLEAN(SUBSTITUTE(ProjTextTable[[#This Row],[text]],CHAR(10)," "))))+1 - LEN(SUBSTITUTE(CLEAN(SUBSTITUTE(ProjTextTable[[#This Row],[text]],CHAR(10)," "))," ",""))</f>
        <v>704</v>
      </c>
      <c r="O750" t="s">
        <v>195</v>
      </c>
      <c r="P750" t="s">
        <v>1949</v>
      </c>
    </row>
    <row r="751" spans="1:16">
      <c r="A751">
        <f t="shared" si="11"/>
        <v>116</v>
      </c>
      <c r="B751" t="s">
        <v>1945</v>
      </c>
      <c r="C751" t="s">
        <v>1946</v>
      </c>
      <c r="D751" t="s">
        <v>194</v>
      </c>
      <c r="E751" t="s">
        <v>543</v>
      </c>
      <c r="F751" t="s">
        <v>1660</v>
      </c>
      <c r="G751" t="s">
        <v>1661</v>
      </c>
      <c r="H751" t="s">
        <v>1662</v>
      </c>
      <c r="I751" t="s">
        <v>209</v>
      </c>
      <c r="J751" t="s">
        <v>176</v>
      </c>
      <c r="K751" s="30">
        <v>43060</v>
      </c>
      <c r="L751" s="8">
        <v>43058.973240740743</v>
      </c>
      <c r="M751" s="21">
        <f>LEN(ProjTextTable[[#This Row],[text]])</f>
        <v>3655</v>
      </c>
      <c r="N751" s="21">
        <f>LEN(TRIM(CLEAN(SUBSTITUTE(ProjTextTable[[#This Row],[text]],CHAR(10)," "))))+1 - LEN(SUBSTITUTE(CLEAN(SUBSTITUTE(ProjTextTable[[#This Row],[text]],CHAR(10)," "))," ",""))</f>
        <v>581</v>
      </c>
      <c r="O751" t="s">
        <v>202</v>
      </c>
      <c r="P751" t="s">
        <v>1950</v>
      </c>
    </row>
    <row r="752" spans="1:16">
      <c r="A752">
        <f t="shared" si="11"/>
        <v>116</v>
      </c>
      <c r="B752" t="s">
        <v>1945</v>
      </c>
      <c r="C752" t="s">
        <v>1946</v>
      </c>
      <c r="D752" t="s">
        <v>196</v>
      </c>
      <c r="E752" t="s">
        <v>543</v>
      </c>
      <c r="F752" t="s">
        <v>13</v>
      </c>
      <c r="G752" t="s">
        <v>13</v>
      </c>
      <c r="H752" t="s">
        <v>13</v>
      </c>
      <c r="K752" s="30"/>
      <c r="L752" s="8">
        <v>42957.043009259258</v>
      </c>
      <c r="M752" s="21">
        <f>LEN(ProjTextTable[[#This Row],[text]])</f>
        <v>4616</v>
      </c>
      <c r="N752" s="21">
        <f>LEN(TRIM(CLEAN(SUBSTITUTE(ProjTextTable[[#This Row],[text]],CHAR(10)," "))))+1 - LEN(SUBSTITUTE(CLEAN(SUBSTITUTE(ProjTextTable[[#This Row],[text]],CHAR(10)," "))," ",""))</f>
        <v>624</v>
      </c>
      <c r="O752" t="s">
        <v>13</v>
      </c>
      <c r="P752" t="s">
        <v>1951</v>
      </c>
    </row>
    <row r="753" spans="1:16">
      <c r="A753">
        <f t="shared" si="11"/>
        <v>117</v>
      </c>
      <c r="B753" t="s">
        <v>723</v>
      </c>
      <c r="C753" t="s">
        <v>724</v>
      </c>
      <c r="D753" t="s">
        <v>205</v>
      </c>
      <c r="E753" t="s">
        <v>543</v>
      </c>
      <c r="F753" t="s">
        <v>725</v>
      </c>
      <c r="G753" t="s">
        <v>545</v>
      </c>
      <c r="H753" t="s">
        <v>365</v>
      </c>
      <c r="I753" t="s">
        <v>200</v>
      </c>
      <c r="J753" t="s">
        <v>253</v>
      </c>
      <c r="K753" s="30">
        <v>43031</v>
      </c>
      <c r="L753" s="8"/>
      <c r="M753" s="21">
        <f>LEN(ProjTextTable[[#This Row],[text]])</f>
        <v>1785</v>
      </c>
      <c r="N753" s="21">
        <f>LEN(TRIM(CLEAN(SUBSTITUTE(ProjTextTable[[#This Row],[text]],CHAR(10)," "))))+1 - LEN(SUBSTITUTE(CLEAN(SUBSTITUTE(ProjTextTable[[#This Row],[text]],CHAR(10)," "))," ",""))</f>
        <v>268</v>
      </c>
      <c r="O753" t="s">
        <v>344</v>
      </c>
      <c r="P753" t="s">
        <v>726</v>
      </c>
    </row>
    <row r="754" spans="1:16">
      <c r="A754">
        <f t="shared" si="11"/>
        <v>117</v>
      </c>
      <c r="B754" t="s">
        <v>723</v>
      </c>
      <c r="C754" t="s">
        <v>724</v>
      </c>
      <c r="D754" t="s">
        <v>2</v>
      </c>
      <c r="E754" t="s">
        <v>540</v>
      </c>
      <c r="F754" t="s">
        <v>13</v>
      </c>
      <c r="G754" t="s">
        <v>925</v>
      </c>
      <c r="H754" t="s">
        <v>13</v>
      </c>
      <c r="I754" t="s">
        <v>13</v>
      </c>
      <c r="K754" s="30"/>
      <c r="L754" s="8">
        <v>43076.608877314815</v>
      </c>
      <c r="M754" s="21">
        <f>LEN(ProjTextTable[[#This Row],[text]])</f>
        <v>2093</v>
      </c>
      <c r="N754" s="21">
        <f>LEN(TRIM(CLEAN(SUBSTITUTE(ProjTextTable[[#This Row],[text]],CHAR(10)," "))))+1 - LEN(SUBSTITUTE(CLEAN(SUBSTITUTE(ProjTextTable[[#This Row],[text]],CHAR(10)," "))," ",""))</f>
        <v>304</v>
      </c>
      <c r="O754" t="s">
        <v>13</v>
      </c>
      <c r="P754" t="s">
        <v>1952</v>
      </c>
    </row>
    <row r="755" spans="1:16">
      <c r="A755">
        <f t="shared" si="11"/>
        <v>117</v>
      </c>
      <c r="B755" t="s">
        <v>723</v>
      </c>
      <c r="C755" t="s">
        <v>724</v>
      </c>
      <c r="D755" t="s">
        <v>194</v>
      </c>
      <c r="E755" t="s">
        <v>543</v>
      </c>
      <c r="F755" t="s">
        <v>552</v>
      </c>
      <c r="G755" t="s">
        <v>553</v>
      </c>
      <c r="H755" t="s">
        <v>554</v>
      </c>
      <c r="I755" t="s">
        <v>209</v>
      </c>
      <c r="J755" t="s">
        <v>176</v>
      </c>
      <c r="K755" s="30">
        <v>43032</v>
      </c>
      <c r="L755" s="8">
        <v>43030.825844907406</v>
      </c>
      <c r="M755" s="21">
        <f>LEN(ProjTextTable[[#This Row],[text]])</f>
        <v>1433</v>
      </c>
      <c r="N755" s="21">
        <f>LEN(TRIM(CLEAN(SUBSTITUTE(ProjTextTable[[#This Row],[text]],CHAR(10)," "))))+1 - LEN(SUBSTITUTE(CLEAN(SUBSTITUTE(ProjTextTable[[#This Row],[text]],CHAR(10)," "))," ",""))</f>
        <v>209</v>
      </c>
      <c r="O755" t="s">
        <v>195</v>
      </c>
      <c r="P755" t="s">
        <v>727</v>
      </c>
    </row>
    <row r="756" spans="1:16">
      <c r="A756">
        <f t="shared" si="11"/>
        <v>117</v>
      </c>
      <c r="B756" t="s">
        <v>723</v>
      </c>
      <c r="C756" t="s">
        <v>724</v>
      </c>
      <c r="D756" t="s">
        <v>194</v>
      </c>
      <c r="E756" t="s">
        <v>540</v>
      </c>
      <c r="F756" t="s">
        <v>560</v>
      </c>
      <c r="G756" t="s">
        <v>561</v>
      </c>
      <c r="H756" t="s">
        <v>562</v>
      </c>
      <c r="I756" t="s">
        <v>209</v>
      </c>
      <c r="J756" t="s">
        <v>176</v>
      </c>
      <c r="K756" s="30">
        <v>43032</v>
      </c>
      <c r="L756" s="8">
        <v>43032.675833333335</v>
      </c>
      <c r="M756" s="21">
        <f>LEN(ProjTextTable[[#This Row],[text]])</f>
        <v>2823</v>
      </c>
      <c r="N756" s="21">
        <f>LEN(TRIM(CLEAN(SUBSTITUTE(ProjTextTable[[#This Row],[text]],CHAR(10)," "))))+1 - LEN(SUBSTITUTE(CLEAN(SUBSTITUTE(ProjTextTable[[#This Row],[text]],CHAR(10)," "))," ",""))</f>
        <v>475</v>
      </c>
      <c r="O756" t="s">
        <v>203</v>
      </c>
      <c r="P756" t="s">
        <v>728</v>
      </c>
    </row>
    <row r="757" spans="1:16">
      <c r="A757">
        <f t="shared" si="11"/>
        <v>117</v>
      </c>
      <c r="B757" t="s">
        <v>723</v>
      </c>
      <c r="C757" t="s">
        <v>724</v>
      </c>
      <c r="D757" t="s">
        <v>194</v>
      </c>
      <c r="E757" t="s">
        <v>543</v>
      </c>
      <c r="F757" t="s">
        <v>729</v>
      </c>
      <c r="G757" t="s">
        <v>730</v>
      </c>
      <c r="H757" t="s">
        <v>731</v>
      </c>
      <c r="I757" t="s">
        <v>209</v>
      </c>
      <c r="J757" t="s">
        <v>176</v>
      </c>
      <c r="K757" s="30">
        <v>43032</v>
      </c>
      <c r="L757" s="8">
        <v>43032.53087962963</v>
      </c>
      <c r="M757" s="21">
        <f>LEN(ProjTextTable[[#This Row],[text]])</f>
        <v>5656</v>
      </c>
      <c r="N757" s="21">
        <f>LEN(TRIM(CLEAN(SUBSTITUTE(ProjTextTable[[#This Row],[text]],CHAR(10)," "))))+1 - LEN(SUBSTITUTE(CLEAN(SUBSTITUTE(ProjTextTable[[#This Row],[text]],CHAR(10)," "))," ",""))</f>
        <v>946</v>
      </c>
      <c r="O757" t="s">
        <v>199</v>
      </c>
      <c r="P757" t="s">
        <v>732</v>
      </c>
    </row>
    <row r="758" spans="1:16">
      <c r="A758">
        <f t="shared" si="11"/>
        <v>117</v>
      </c>
      <c r="B758" t="s">
        <v>723</v>
      </c>
      <c r="C758" t="s">
        <v>724</v>
      </c>
      <c r="D758" t="s">
        <v>196</v>
      </c>
      <c r="E758" t="s">
        <v>540</v>
      </c>
      <c r="F758" t="s">
        <v>13</v>
      </c>
      <c r="G758" t="s">
        <v>13</v>
      </c>
      <c r="H758" t="s">
        <v>13</v>
      </c>
      <c r="K758" s="30"/>
      <c r="L758" s="8">
        <v>42957.043009259258</v>
      </c>
      <c r="M758" s="21">
        <f>LEN(ProjTextTable[[#This Row],[text]])</f>
        <v>4368</v>
      </c>
      <c r="N758" s="21">
        <f>LEN(TRIM(CLEAN(SUBSTITUTE(ProjTextTable[[#This Row],[text]],CHAR(10)," "))))+1 - LEN(SUBSTITUTE(CLEAN(SUBSTITUTE(ProjTextTable[[#This Row],[text]],CHAR(10)," "))," ",""))</f>
        <v>604</v>
      </c>
      <c r="O758" t="s">
        <v>13</v>
      </c>
      <c r="P758" t="s">
        <v>733</v>
      </c>
    </row>
    <row r="759" spans="1:16">
      <c r="A759">
        <f t="shared" si="11"/>
        <v>118</v>
      </c>
      <c r="B759" t="s">
        <v>1953</v>
      </c>
      <c r="C759" t="s">
        <v>1781</v>
      </c>
      <c r="D759" t="s">
        <v>205</v>
      </c>
      <c r="E759" t="s">
        <v>543</v>
      </c>
      <c r="F759" t="s">
        <v>619</v>
      </c>
      <c r="G759" t="s">
        <v>620</v>
      </c>
      <c r="H759" t="s">
        <v>207</v>
      </c>
      <c r="I759" t="s">
        <v>197</v>
      </c>
      <c r="J759" t="s">
        <v>193</v>
      </c>
      <c r="K759" s="30">
        <v>43059</v>
      </c>
      <c r="L759" s="8"/>
      <c r="M759" s="21">
        <f>LEN(ProjTextTable[[#This Row],[text]])</f>
        <v>3676</v>
      </c>
      <c r="N759" s="21">
        <f>LEN(TRIM(CLEAN(SUBSTITUTE(ProjTextTable[[#This Row],[text]],CHAR(10)," "))))+1 - LEN(SUBSTITUTE(CLEAN(SUBSTITUTE(ProjTextTable[[#This Row],[text]],CHAR(10)," "))," ",""))</f>
        <v>552</v>
      </c>
      <c r="O759" t="s">
        <v>208</v>
      </c>
      <c r="P759" t="s">
        <v>1954</v>
      </c>
    </row>
    <row r="760" spans="1:16">
      <c r="A760">
        <f t="shared" si="11"/>
        <v>118</v>
      </c>
      <c r="B760" t="s">
        <v>1953</v>
      </c>
      <c r="C760" t="s">
        <v>1781</v>
      </c>
      <c r="D760" t="s">
        <v>194</v>
      </c>
      <c r="E760" t="s">
        <v>543</v>
      </c>
      <c r="F760" t="s">
        <v>1579</v>
      </c>
      <c r="G760" t="s">
        <v>1580</v>
      </c>
      <c r="H760" t="s">
        <v>1581</v>
      </c>
      <c r="I760" t="s">
        <v>209</v>
      </c>
      <c r="J760" t="s">
        <v>176</v>
      </c>
      <c r="K760" s="30">
        <v>43060</v>
      </c>
      <c r="L760" s="8">
        <v>43056.613564814812</v>
      </c>
      <c r="M760" s="21">
        <f>LEN(ProjTextTable[[#This Row],[text]])</f>
        <v>2469</v>
      </c>
      <c r="N760" s="21">
        <f>LEN(TRIM(CLEAN(SUBSTITUTE(ProjTextTable[[#This Row],[text]],CHAR(10)," "))))+1 - LEN(SUBSTITUTE(CLEAN(SUBSTITUTE(ProjTextTable[[#This Row],[text]],CHAR(10)," "))," ",""))</f>
        <v>386</v>
      </c>
      <c r="O760" t="s">
        <v>199</v>
      </c>
      <c r="P760" t="s">
        <v>1955</v>
      </c>
    </row>
    <row r="761" spans="1:16">
      <c r="A761">
        <f t="shared" si="11"/>
        <v>118</v>
      </c>
      <c r="B761" t="s">
        <v>1953</v>
      </c>
      <c r="C761" t="s">
        <v>1781</v>
      </c>
      <c r="D761" t="s">
        <v>194</v>
      </c>
      <c r="E761" t="s">
        <v>543</v>
      </c>
      <c r="F761" t="s">
        <v>626</v>
      </c>
      <c r="G761" t="s">
        <v>627</v>
      </c>
      <c r="H761" t="s">
        <v>628</v>
      </c>
      <c r="I761" t="s">
        <v>209</v>
      </c>
      <c r="J761" t="s">
        <v>176</v>
      </c>
      <c r="K761" s="30">
        <v>43060</v>
      </c>
      <c r="L761" s="8">
        <v>43059.232060185182</v>
      </c>
      <c r="M761" s="21">
        <f>LEN(ProjTextTable[[#This Row],[text]])</f>
        <v>1235</v>
      </c>
      <c r="N761" s="21">
        <f>LEN(TRIM(CLEAN(SUBSTITUTE(ProjTextTable[[#This Row],[text]],CHAR(10)," "))))+1 - LEN(SUBSTITUTE(CLEAN(SUBSTITUTE(ProjTextTable[[#This Row],[text]],CHAR(10)," "))," ",""))</f>
        <v>175</v>
      </c>
      <c r="O761" t="s">
        <v>199</v>
      </c>
      <c r="P761" t="s">
        <v>1956</v>
      </c>
    </row>
    <row r="762" spans="1:16">
      <c r="A762">
        <f t="shared" si="11"/>
        <v>118</v>
      </c>
      <c r="B762" t="s">
        <v>1953</v>
      </c>
      <c r="C762" t="s">
        <v>1781</v>
      </c>
      <c r="D762" t="s">
        <v>194</v>
      </c>
      <c r="E762" t="s">
        <v>543</v>
      </c>
      <c r="F762" t="s">
        <v>634</v>
      </c>
      <c r="G762" t="s">
        <v>635</v>
      </c>
      <c r="H762" t="s">
        <v>636</v>
      </c>
      <c r="I762" t="s">
        <v>209</v>
      </c>
      <c r="J762" t="s">
        <v>176</v>
      </c>
      <c r="K762" s="30">
        <v>43060</v>
      </c>
      <c r="L762" s="8">
        <v>43060.398576388892</v>
      </c>
      <c r="M762" s="21">
        <f>LEN(ProjTextTable[[#This Row],[text]])</f>
        <v>4632</v>
      </c>
      <c r="N762" s="21">
        <f>LEN(TRIM(CLEAN(SUBSTITUTE(ProjTextTable[[#This Row],[text]],CHAR(10)," "))))+1 - LEN(SUBSTITUTE(CLEAN(SUBSTITUTE(ProjTextTable[[#This Row],[text]],CHAR(10)," "))," ",""))</f>
        <v>693</v>
      </c>
      <c r="O762" t="s">
        <v>199</v>
      </c>
      <c r="P762" t="s">
        <v>1957</v>
      </c>
    </row>
    <row r="763" spans="1:16">
      <c r="A763">
        <f t="shared" si="11"/>
        <v>118</v>
      </c>
      <c r="B763" t="s">
        <v>1953</v>
      </c>
      <c r="C763" t="s">
        <v>1781</v>
      </c>
      <c r="D763" t="s">
        <v>196</v>
      </c>
      <c r="E763" t="s">
        <v>543</v>
      </c>
      <c r="F763" t="s">
        <v>13</v>
      </c>
      <c r="G763" t="s">
        <v>13</v>
      </c>
      <c r="H763" t="s">
        <v>13</v>
      </c>
      <c r="K763" s="30"/>
      <c r="L763" s="8">
        <v>42957.043020833335</v>
      </c>
      <c r="M763" s="21">
        <f>LEN(ProjTextTable[[#This Row],[text]])</f>
        <v>3793</v>
      </c>
      <c r="N763" s="21">
        <f>LEN(TRIM(CLEAN(SUBSTITUTE(ProjTextTable[[#This Row],[text]],CHAR(10)," "))))+1 - LEN(SUBSTITUTE(CLEAN(SUBSTITUTE(ProjTextTable[[#This Row],[text]],CHAR(10)," "))," ",""))</f>
        <v>556</v>
      </c>
      <c r="O763" t="s">
        <v>13</v>
      </c>
      <c r="P763" t="s">
        <v>1958</v>
      </c>
    </row>
    <row r="764" spans="1:16">
      <c r="A764">
        <f t="shared" si="11"/>
        <v>119</v>
      </c>
      <c r="B764" t="s">
        <v>734</v>
      </c>
      <c r="C764" t="s">
        <v>735</v>
      </c>
      <c r="D764" t="s">
        <v>205</v>
      </c>
      <c r="E764" t="s">
        <v>543</v>
      </c>
      <c r="F764" t="s">
        <v>544</v>
      </c>
      <c r="G764" t="s">
        <v>545</v>
      </c>
      <c r="H764" t="s">
        <v>365</v>
      </c>
      <c r="I764" t="s">
        <v>200</v>
      </c>
      <c r="J764" t="s">
        <v>253</v>
      </c>
      <c r="K764" s="30">
        <v>43031</v>
      </c>
      <c r="L764" s="8"/>
      <c r="M764" s="21">
        <f>LEN(ProjTextTable[[#This Row],[text]])</f>
        <v>2340</v>
      </c>
      <c r="N764" s="21">
        <f>LEN(TRIM(CLEAN(SUBSTITUTE(ProjTextTable[[#This Row],[text]],CHAR(10)," "))))+1 - LEN(SUBSTITUTE(CLEAN(SUBSTITUTE(ProjTextTable[[#This Row],[text]],CHAR(10)," "))," ",""))</f>
        <v>356</v>
      </c>
      <c r="O764" t="s">
        <v>344</v>
      </c>
      <c r="P764" t="s">
        <v>736</v>
      </c>
    </row>
    <row r="765" spans="1:16">
      <c r="A765">
        <f t="shared" si="11"/>
        <v>119</v>
      </c>
      <c r="B765" t="s">
        <v>734</v>
      </c>
      <c r="C765" t="s">
        <v>735</v>
      </c>
      <c r="D765" t="s">
        <v>2</v>
      </c>
      <c r="E765" t="s">
        <v>540</v>
      </c>
      <c r="F765" t="s">
        <v>13</v>
      </c>
      <c r="G765" t="s">
        <v>925</v>
      </c>
      <c r="H765" t="s">
        <v>13</v>
      </c>
      <c r="I765" t="s">
        <v>13</v>
      </c>
      <c r="K765" s="30"/>
      <c r="L765" s="8">
        <v>43076.608923611115</v>
      </c>
      <c r="M765" s="21">
        <f>LEN(ProjTextTable[[#This Row],[text]])</f>
        <v>2051</v>
      </c>
      <c r="N765" s="21">
        <f>LEN(TRIM(CLEAN(SUBSTITUTE(ProjTextTable[[#This Row],[text]],CHAR(10)," "))))+1 - LEN(SUBSTITUTE(CLEAN(SUBSTITUTE(ProjTextTable[[#This Row],[text]],CHAR(10)," "))," ",""))</f>
        <v>295</v>
      </c>
      <c r="O765" t="s">
        <v>13</v>
      </c>
      <c r="P765" t="s">
        <v>1959</v>
      </c>
    </row>
    <row r="766" spans="1:16">
      <c r="A766">
        <f t="shared" si="11"/>
        <v>119</v>
      </c>
      <c r="B766" t="s">
        <v>734</v>
      </c>
      <c r="C766" t="s">
        <v>735</v>
      </c>
      <c r="D766" t="s">
        <v>194</v>
      </c>
      <c r="E766" t="s">
        <v>543</v>
      </c>
      <c r="F766" t="s">
        <v>548</v>
      </c>
      <c r="G766" t="s">
        <v>549</v>
      </c>
      <c r="H766" t="s">
        <v>550</v>
      </c>
      <c r="I766" t="s">
        <v>209</v>
      </c>
      <c r="J766" t="s">
        <v>176</v>
      </c>
      <c r="K766" s="30">
        <v>43032</v>
      </c>
      <c r="L766" s="8">
        <v>43031.750081018516</v>
      </c>
      <c r="M766" s="21">
        <f>LEN(ProjTextTable[[#This Row],[text]])</f>
        <v>3285</v>
      </c>
      <c r="N766" s="21">
        <f>LEN(TRIM(CLEAN(SUBSTITUTE(ProjTextTable[[#This Row],[text]],CHAR(10)," "))))+1 - LEN(SUBSTITUTE(CLEAN(SUBSTITUTE(ProjTextTable[[#This Row],[text]],CHAR(10)," "))," ",""))</f>
        <v>514</v>
      </c>
      <c r="O766" t="s">
        <v>202</v>
      </c>
      <c r="P766" t="s">
        <v>737</v>
      </c>
    </row>
    <row r="767" spans="1:16">
      <c r="A767">
        <f t="shared" si="11"/>
        <v>119</v>
      </c>
      <c r="B767" t="s">
        <v>734</v>
      </c>
      <c r="C767" t="s">
        <v>735</v>
      </c>
      <c r="D767" t="s">
        <v>194</v>
      </c>
      <c r="E767" t="s">
        <v>543</v>
      </c>
      <c r="F767" t="s">
        <v>673</v>
      </c>
      <c r="G767" t="s">
        <v>674</v>
      </c>
      <c r="H767" t="s">
        <v>675</v>
      </c>
      <c r="I767" t="s">
        <v>209</v>
      </c>
      <c r="J767" t="s">
        <v>176</v>
      </c>
      <c r="K767" s="30">
        <v>43032</v>
      </c>
      <c r="L767" s="8">
        <v>43027.933842592596</v>
      </c>
      <c r="M767" s="21">
        <f>LEN(ProjTextTable[[#This Row],[text]])</f>
        <v>2177</v>
      </c>
      <c r="N767" s="21">
        <f>LEN(TRIM(CLEAN(SUBSTITUTE(ProjTextTable[[#This Row],[text]],CHAR(10)," "))))+1 - LEN(SUBSTITUTE(CLEAN(SUBSTITUTE(ProjTextTable[[#This Row],[text]],CHAR(10)," "))," ",""))</f>
        <v>316</v>
      </c>
      <c r="O767" t="s">
        <v>195</v>
      </c>
      <c r="P767" t="s">
        <v>738</v>
      </c>
    </row>
    <row r="768" spans="1:16">
      <c r="A768">
        <f t="shared" si="11"/>
        <v>119</v>
      </c>
      <c r="B768" t="s">
        <v>734</v>
      </c>
      <c r="C768" t="s">
        <v>735</v>
      </c>
      <c r="D768" t="s">
        <v>194</v>
      </c>
      <c r="E768" t="s">
        <v>540</v>
      </c>
      <c r="F768" t="s">
        <v>560</v>
      </c>
      <c r="G768" t="s">
        <v>561</v>
      </c>
      <c r="H768" t="s">
        <v>562</v>
      </c>
      <c r="I768" t="s">
        <v>209</v>
      </c>
      <c r="J768" t="s">
        <v>176</v>
      </c>
      <c r="K768" s="30">
        <v>43032</v>
      </c>
      <c r="L768" s="8">
        <v>43030.934814814813</v>
      </c>
      <c r="M768" s="21">
        <f>LEN(ProjTextTable[[#This Row],[text]])</f>
        <v>1966</v>
      </c>
      <c r="N768" s="21">
        <f>LEN(TRIM(CLEAN(SUBSTITUTE(ProjTextTable[[#This Row],[text]],CHAR(10)," "))))+1 - LEN(SUBSTITUTE(CLEAN(SUBSTITUTE(ProjTextTable[[#This Row],[text]],CHAR(10)," "))," ",""))</f>
        <v>299</v>
      </c>
      <c r="O768" t="s">
        <v>201</v>
      </c>
      <c r="P768" t="s">
        <v>739</v>
      </c>
    </row>
    <row r="769" spans="1:16">
      <c r="A769">
        <f t="shared" si="11"/>
        <v>119</v>
      </c>
      <c r="B769" t="s">
        <v>734</v>
      </c>
      <c r="C769" t="s">
        <v>735</v>
      </c>
      <c r="D769" t="s">
        <v>196</v>
      </c>
      <c r="E769" t="s">
        <v>540</v>
      </c>
      <c r="F769" t="s">
        <v>13</v>
      </c>
      <c r="G769" t="s">
        <v>13</v>
      </c>
      <c r="H769" t="s">
        <v>13</v>
      </c>
      <c r="K769" s="30"/>
      <c r="L769" s="8">
        <v>42957.043055555558</v>
      </c>
      <c r="M769" s="21">
        <f>LEN(ProjTextTable[[#This Row],[text]])</f>
        <v>3067</v>
      </c>
      <c r="N769" s="21">
        <f>LEN(TRIM(CLEAN(SUBSTITUTE(ProjTextTable[[#This Row],[text]],CHAR(10)," "))))+1 - LEN(SUBSTITUTE(CLEAN(SUBSTITUTE(ProjTextTable[[#This Row],[text]],CHAR(10)," "))," ",""))</f>
        <v>414</v>
      </c>
      <c r="O769" t="s">
        <v>13</v>
      </c>
      <c r="P769" t="s">
        <v>740</v>
      </c>
    </row>
    <row r="770" spans="1:16">
      <c r="A770">
        <f t="shared" ref="A770:A833" si="12">A769+(B770&lt;&gt;B769)</f>
        <v>120</v>
      </c>
      <c r="B770" t="s">
        <v>1960</v>
      </c>
      <c r="C770" t="s">
        <v>627</v>
      </c>
      <c r="D770" t="s">
        <v>205</v>
      </c>
      <c r="E770" t="s">
        <v>543</v>
      </c>
      <c r="F770" t="s">
        <v>544</v>
      </c>
      <c r="G770" t="s">
        <v>545</v>
      </c>
      <c r="H770" t="s">
        <v>207</v>
      </c>
      <c r="I770" t="s">
        <v>197</v>
      </c>
      <c r="J770" t="s">
        <v>193</v>
      </c>
      <c r="K770" s="30">
        <v>43031</v>
      </c>
      <c r="L770" s="8"/>
      <c r="M770" s="21">
        <f>LEN(ProjTextTable[[#This Row],[text]])</f>
        <v>3360</v>
      </c>
      <c r="N770" s="21">
        <f>LEN(TRIM(CLEAN(SUBSTITUTE(ProjTextTable[[#This Row],[text]],CHAR(10)," "))))+1 - LEN(SUBSTITUTE(CLEAN(SUBSTITUTE(ProjTextTable[[#This Row],[text]],CHAR(10)," "))," ",""))</f>
        <v>522</v>
      </c>
      <c r="O770" t="s">
        <v>208</v>
      </c>
      <c r="P770" t="s">
        <v>1961</v>
      </c>
    </row>
    <row r="771" spans="1:16">
      <c r="A771">
        <f t="shared" si="12"/>
        <v>120</v>
      </c>
      <c r="B771" t="s">
        <v>1960</v>
      </c>
      <c r="C771" t="s">
        <v>627</v>
      </c>
      <c r="D771" t="s">
        <v>194</v>
      </c>
      <c r="E771" t="s">
        <v>543</v>
      </c>
      <c r="F771" t="s">
        <v>572</v>
      </c>
      <c r="G771" t="s">
        <v>573</v>
      </c>
      <c r="H771" t="s">
        <v>574</v>
      </c>
      <c r="I771" t="s">
        <v>209</v>
      </c>
      <c r="J771" t="s">
        <v>176</v>
      </c>
      <c r="K771" s="30">
        <v>43032</v>
      </c>
      <c r="L771" s="8">
        <v>43030.166759259257</v>
      </c>
      <c r="M771" s="21">
        <f>LEN(ProjTextTable[[#This Row],[text]])</f>
        <v>1615</v>
      </c>
      <c r="N771" s="21">
        <f>LEN(TRIM(CLEAN(SUBSTITUTE(ProjTextTable[[#This Row],[text]],CHAR(10)," "))))+1 - LEN(SUBSTITUTE(CLEAN(SUBSTITUTE(ProjTextTable[[#This Row],[text]],CHAR(10)," "))," ",""))</f>
        <v>241</v>
      </c>
      <c r="O771" t="s">
        <v>195</v>
      </c>
      <c r="P771" t="s">
        <v>1962</v>
      </c>
    </row>
    <row r="772" spans="1:16">
      <c r="A772">
        <f t="shared" si="12"/>
        <v>120</v>
      </c>
      <c r="B772" t="s">
        <v>1960</v>
      </c>
      <c r="C772" t="s">
        <v>627</v>
      </c>
      <c r="D772" t="s">
        <v>194</v>
      </c>
      <c r="E772" t="s">
        <v>543</v>
      </c>
      <c r="F772" t="s">
        <v>576</v>
      </c>
      <c r="G772" t="s">
        <v>577</v>
      </c>
      <c r="H772" t="s">
        <v>578</v>
      </c>
      <c r="I772" t="s">
        <v>209</v>
      </c>
      <c r="J772" t="s">
        <v>176</v>
      </c>
      <c r="K772" s="30">
        <v>43032</v>
      </c>
      <c r="L772" s="8">
        <v>43031.734490740739</v>
      </c>
      <c r="M772" s="21">
        <f>LEN(ProjTextTable[[#This Row],[text]])</f>
        <v>2978</v>
      </c>
      <c r="N772" s="21">
        <f>LEN(TRIM(CLEAN(SUBSTITUTE(ProjTextTable[[#This Row],[text]],CHAR(10)," "))))+1 - LEN(SUBSTITUTE(CLEAN(SUBSTITUTE(ProjTextTable[[#This Row],[text]],CHAR(10)," "))," ",""))</f>
        <v>447</v>
      </c>
      <c r="O772" t="s">
        <v>202</v>
      </c>
      <c r="P772" t="s">
        <v>1963</v>
      </c>
    </row>
    <row r="773" spans="1:16">
      <c r="A773">
        <f t="shared" si="12"/>
        <v>120</v>
      </c>
      <c r="B773" t="s">
        <v>1960</v>
      </c>
      <c r="C773" t="s">
        <v>627</v>
      </c>
      <c r="D773" t="s">
        <v>194</v>
      </c>
      <c r="E773" t="s">
        <v>543</v>
      </c>
      <c r="F773" t="s">
        <v>591</v>
      </c>
      <c r="G773" t="s">
        <v>592</v>
      </c>
      <c r="H773" t="s">
        <v>593</v>
      </c>
      <c r="I773" t="s">
        <v>209</v>
      </c>
      <c r="J773" t="s">
        <v>176</v>
      </c>
      <c r="K773" s="30">
        <v>43032</v>
      </c>
      <c r="L773" s="8">
        <v>43028.558368055557</v>
      </c>
      <c r="M773" s="21">
        <f>LEN(ProjTextTable[[#This Row],[text]])</f>
        <v>1434</v>
      </c>
      <c r="N773" s="21">
        <f>LEN(TRIM(CLEAN(SUBSTITUTE(ProjTextTable[[#This Row],[text]],CHAR(10)," "))))+1 - LEN(SUBSTITUTE(CLEAN(SUBSTITUTE(ProjTextTable[[#This Row],[text]],CHAR(10)," "))," ",""))</f>
        <v>212</v>
      </c>
      <c r="O773" t="s">
        <v>199</v>
      </c>
      <c r="P773" t="s">
        <v>1964</v>
      </c>
    </row>
    <row r="774" spans="1:16">
      <c r="B774" t="s">
        <v>204</v>
      </c>
      <c r="K774" s="30"/>
      <c r="M774"/>
      <c r="N774"/>
      <c r="P774">
        <f>SUBTOTAL(103,ProjTextTable[text])</f>
        <v>772</v>
      </c>
    </row>
  </sheetData>
  <conditionalFormatting sqref="A2:P773">
    <cfRule type="expression" dxfId="7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E14" sqref="A14:E14"/>
    </sheetView>
  </sheetViews>
  <sheetFormatPr defaultColWidth="9.3046875" defaultRowHeight="14.6"/>
  <cols>
    <col min="1" max="1" width="16.69140625" style="64" customWidth="1"/>
    <col min="2" max="2" width="16.53515625" style="64" customWidth="1"/>
    <col min="3" max="3" width="98.53515625" style="83" customWidth="1"/>
    <col min="4" max="4" width="27.84375" style="62" bestFit="1" customWidth="1"/>
    <col min="5" max="5" width="12.84375" style="62" bestFit="1" customWidth="1"/>
    <col min="6" max="16384" width="9.3046875" style="62"/>
  </cols>
  <sheetData>
    <row r="1" spans="1:5">
      <c r="A1" s="64" t="s">
        <v>290</v>
      </c>
    </row>
    <row r="2" spans="1:5">
      <c r="A2" s="65" t="s">
        <v>291</v>
      </c>
      <c r="B2" s="66" t="s">
        <v>292</v>
      </c>
    </row>
    <row r="3" spans="1:5">
      <c r="A3" s="65" t="s">
        <v>293</v>
      </c>
      <c r="B3" s="67" t="s">
        <v>311</v>
      </c>
    </row>
    <row r="4" spans="1:5">
      <c r="A4" s="64" t="s">
        <v>294</v>
      </c>
      <c r="B4" s="66" t="s">
        <v>295</v>
      </c>
    </row>
    <row r="5" spans="1:5">
      <c r="A5" s="64" t="s">
        <v>296</v>
      </c>
      <c r="B5" s="66" t="s">
        <v>297</v>
      </c>
    </row>
    <row r="6" spans="1:5">
      <c r="D6" s="62" t="s">
        <v>514</v>
      </c>
      <c r="E6" s="62">
        <v>5</v>
      </c>
    </row>
    <row r="7" spans="1:5" ht="15.9">
      <c r="A7" s="68" t="s">
        <v>277</v>
      </c>
      <c r="B7" s="69" t="s">
        <v>278</v>
      </c>
      <c r="D7" s="116" t="s">
        <v>519</v>
      </c>
      <c r="E7" s="114" t="s">
        <v>517</v>
      </c>
    </row>
    <row r="8" spans="1:5" ht="15.9">
      <c r="A8" s="70" t="s">
        <v>282</v>
      </c>
      <c r="B8" s="71"/>
      <c r="D8" s="116" t="s">
        <v>520</v>
      </c>
      <c r="E8" s="115" t="s">
        <v>515</v>
      </c>
    </row>
    <row r="9" spans="1:5" ht="15.9">
      <c r="A9" s="70" t="s">
        <v>267</v>
      </c>
      <c r="B9" s="71"/>
      <c r="D9" s="116" t="s">
        <v>521</v>
      </c>
      <c r="E9" s="115" t="s">
        <v>516</v>
      </c>
    </row>
    <row r="10" spans="1:5" ht="15.9">
      <c r="A10" s="70" t="s">
        <v>281</v>
      </c>
      <c r="B10" s="71"/>
      <c r="D10" s="116" t="s">
        <v>522</v>
      </c>
      <c r="E10" s="115" t="s">
        <v>518</v>
      </c>
    </row>
    <row r="11" spans="1:5" ht="15.9">
      <c r="A11" s="70" t="s">
        <v>280</v>
      </c>
      <c r="B11" s="71"/>
      <c r="D11" s="116" t="s">
        <v>523</v>
      </c>
      <c r="E11" s="115" t="s">
        <v>513</v>
      </c>
    </row>
    <row r="12" spans="1:5">
      <c r="A12" s="70" t="s">
        <v>279</v>
      </c>
      <c r="B12" s="71"/>
    </row>
    <row r="13" spans="1:5">
      <c r="A13" s="70" t="s">
        <v>283</v>
      </c>
      <c r="B13" s="71"/>
    </row>
    <row r="14" spans="1:5">
      <c r="A14" s="70" t="s">
        <v>284</v>
      </c>
      <c r="B14" s="71"/>
    </row>
    <row r="15" spans="1:5">
      <c r="A15" s="70" t="s">
        <v>271</v>
      </c>
      <c r="B15" s="71"/>
    </row>
    <row r="16" spans="1:5">
      <c r="A16" s="70" t="s">
        <v>274</v>
      </c>
      <c r="B16" s="71"/>
    </row>
    <row r="17" spans="1:5">
      <c r="A17" s="72" t="s">
        <v>276</v>
      </c>
      <c r="B17" s="73"/>
      <c r="D17" s="88" t="s">
        <v>450</v>
      </c>
      <c r="E17" t="s">
        <v>491</v>
      </c>
    </row>
    <row r="18" spans="1:5">
      <c r="D18" s="25" t="s">
        <v>174</v>
      </c>
      <c r="E18" s="21">
        <v>2</v>
      </c>
    </row>
    <row r="19" spans="1:5">
      <c r="D19" s="25" t="s">
        <v>175</v>
      </c>
      <c r="E19" s="21">
        <v>11</v>
      </c>
    </row>
    <row r="20" spans="1:5">
      <c r="D20" s="25" t="s">
        <v>177</v>
      </c>
      <c r="E20" s="21">
        <v>4</v>
      </c>
    </row>
    <row r="21" spans="1:5">
      <c r="D21" s="25" t="s">
        <v>498</v>
      </c>
      <c r="E21" s="21">
        <v>1</v>
      </c>
    </row>
    <row r="22" spans="1:5">
      <c r="D22" s="25" t="s">
        <v>882</v>
      </c>
      <c r="E22" s="21">
        <v>1</v>
      </c>
    </row>
    <row r="23" spans="1:5">
      <c r="A23" s="74" t="s">
        <v>183</v>
      </c>
      <c r="B23" s="75" t="s">
        <v>298</v>
      </c>
      <c r="C23" s="84" t="s">
        <v>299</v>
      </c>
      <c r="D23" s="25" t="s">
        <v>448</v>
      </c>
      <c r="E23" s="21">
        <v>19</v>
      </c>
    </row>
    <row r="24" spans="1:5" ht="29.7" customHeight="1">
      <c r="A24" s="64" t="s">
        <v>300</v>
      </c>
      <c r="B24" s="76">
        <v>43076.559108796297</v>
      </c>
      <c r="C24" s="85" t="s">
        <v>393</v>
      </c>
    </row>
    <row r="25" spans="1:5" ht="35.700000000000003" customHeight="1">
      <c r="A25" s="64" t="s">
        <v>301</v>
      </c>
      <c r="B25" s="76">
        <v>43076.559108796297</v>
      </c>
      <c r="C25" s="85" t="s">
        <v>425</v>
      </c>
    </row>
    <row r="26" spans="1:5" ht="35.700000000000003" customHeight="1">
      <c r="A26" s="64" t="s">
        <v>302</v>
      </c>
      <c r="B26" s="76">
        <v>43076.559108796297</v>
      </c>
      <c r="C26" s="85" t="s">
        <v>426</v>
      </c>
    </row>
    <row r="27" spans="1:5" ht="35.700000000000003" customHeight="1">
      <c r="A27" s="64" t="s">
        <v>303</v>
      </c>
      <c r="B27" s="76">
        <v>43076.559108796297</v>
      </c>
      <c r="C27" s="85" t="s">
        <v>427</v>
      </c>
    </row>
    <row r="28" spans="1:5" ht="35.700000000000003" customHeight="1">
      <c r="A28" s="64" t="s">
        <v>304</v>
      </c>
      <c r="B28" s="76">
        <v>43076.559108796297</v>
      </c>
      <c r="C28" s="85" t="s">
        <v>428</v>
      </c>
    </row>
    <row r="29" spans="1:5" ht="35.700000000000003" customHeight="1">
      <c r="A29" s="64" t="s">
        <v>305</v>
      </c>
      <c r="B29" s="76">
        <v>43077.112500000003</v>
      </c>
      <c r="C29" s="85" t="s">
        <v>899</v>
      </c>
    </row>
    <row r="30" spans="1:5" ht="35.700000000000003" customHeight="1">
      <c r="A30" s="64" t="s">
        <v>306</v>
      </c>
      <c r="B30" s="76">
        <v>43076.559108796297</v>
      </c>
      <c r="C30" s="85" t="s">
        <v>492</v>
      </c>
    </row>
    <row r="31" spans="1:5" ht="35.700000000000003" customHeight="1">
      <c r="A31" s="64" t="s">
        <v>307</v>
      </c>
      <c r="B31" s="76">
        <v>43076.559108796297</v>
      </c>
      <c r="C31" s="85" t="s">
        <v>394</v>
      </c>
    </row>
    <row r="32" spans="1:5" ht="35.700000000000003" customHeight="1">
      <c r="A32" s="64" t="s">
        <v>308</v>
      </c>
      <c r="B32" s="76">
        <v>43076.559108796297</v>
      </c>
      <c r="C32" s="85" t="s">
        <v>432</v>
      </c>
    </row>
    <row r="33" spans="1:3" ht="35.700000000000003" customHeight="1">
      <c r="A33" s="64" t="s">
        <v>309</v>
      </c>
      <c r="B33" s="76">
        <v>43076.559108796297</v>
      </c>
      <c r="C33" s="85" t="s">
        <v>431</v>
      </c>
    </row>
    <row r="34" spans="1:3" ht="35.700000000000003" customHeight="1">
      <c r="A34" s="64" t="s">
        <v>390</v>
      </c>
      <c r="B34" s="76">
        <v>43076.559108796297</v>
      </c>
      <c r="C34" s="85" t="s">
        <v>429</v>
      </c>
    </row>
    <row r="35" spans="1:3" ht="35.700000000000003" customHeight="1">
      <c r="A35" s="64" t="s">
        <v>392</v>
      </c>
      <c r="B35" s="76">
        <v>43076.559108796297</v>
      </c>
      <c r="C35" s="85" t="s">
        <v>493</v>
      </c>
    </row>
    <row r="36" spans="1:3" ht="35.700000000000003" customHeight="1">
      <c r="A36" s="64" t="s">
        <v>391</v>
      </c>
      <c r="B36" s="76">
        <v>43076.559108796297</v>
      </c>
      <c r="C36" s="85" t="s">
        <v>445</v>
      </c>
    </row>
    <row r="37" spans="1:3" ht="36" customHeight="1">
      <c r="A37" s="64" t="s">
        <v>430</v>
      </c>
      <c r="B37" s="76">
        <v>43076.559108796297</v>
      </c>
      <c r="C37" s="85" t="s">
        <v>511</v>
      </c>
    </row>
    <row r="38" spans="1:3" ht="36" customHeight="1">
      <c r="A38" s="64" t="s">
        <v>395</v>
      </c>
      <c r="B38" s="76">
        <v>43076.559108796297</v>
      </c>
      <c r="C38" s="85" t="s">
        <v>881</v>
      </c>
    </row>
    <row r="39" spans="1:3" ht="24.45" customHeight="1">
      <c r="A39" s="64" t="s">
        <v>509</v>
      </c>
      <c r="B39" s="76">
        <v>43076.559108796297</v>
      </c>
      <c r="C39" s="85" t="s">
        <v>510</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48</vt:i4>
      </vt:variant>
    </vt:vector>
  </HeadingPairs>
  <TitlesOfParts>
    <vt:vector size="58"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2017-12-08T10:07:03Z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vt:lpwstr>
  </property>
</Properties>
</file>